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codeName="{00000000-0000-0000-0000-000000000000}"/>
  <workbookPr codeName="ThisWorkbook" hidePivotFieldList="1" defaultThemeVersion="166925"/>
  <mc:AlternateContent xmlns:mc="http://schemas.openxmlformats.org/markup-compatibility/2006">
    <mc:Choice Requires="x15">
      <x15ac:absPath xmlns:x15ac="http://schemas.microsoft.com/office/spreadsheetml/2010/11/ac" url="https://envu-my.sharepoint.com/personal/chad_noyes_envu_com/Documents/Desktop/Calc/"/>
    </mc:Choice>
  </mc:AlternateContent>
  <xr:revisionPtr revIDLastSave="0" documentId="8_{86B53D81-E61C-47AB-AFE6-30943354D132}" xr6:coauthVersionLast="47" xr6:coauthVersionMax="47" xr10:uidLastSave="{00000000-0000-0000-0000-000000000000}"/>
  <bookViews>
    <workbookView xWindow="-110" yWindow="-110" windowWidth="19420" windowHeight="11500" xr2:uid="{47E820C8-F8DF-412E-8B73-FB77A2B9CF60}"/>
  </bookViews>
  <sheets>
    <sheet name="2025 LL-CALCULATOR - UNITS" sheetId="5" r:id="rId1"/>
    <sheet name="SUMMARY - UNITS (2025)" sheetId="9" r:id="rId2"/>
    <sheet name="REBATE MATRIX (NOW)" sheetId="7" state="veryHidden" r:id="rId3"/>
    <sheet name="2025 SLP_LL_NOW" sheetId="6" state="veryHidden" r:id="rId4"/>
  </sheets>
  <definedNames>
    <definedName name="_xlnm._FilterDatabase" localSheetId="0" hidden="1">'2025 LL-CALCULATOR - UNITS'!$E$12:$Z$14</definedName>
    <definedName name="_xlnm._FilterDatabase" localSheetId="3" hidden="1">'2025 SLP_LL_NOW'!$A$1:$AD$159</definedName>
    <definedName name="_xlnm._FilterDatabase" localSheetId="2" hidden="1">'REBATE MATRIX (NOW)'!$B$2:$F$83</definedName>
    <definedName name="_xleta.NOW" hidden="1" xlm="1">#NAME?</definedName>
    <definedName name="California_Header">#REF!</definedName>
    <definedName name="California_ProductForm">#REF!</definedName>
    <definedName name="California_Summary">#REF!</definedName>
    <definedName name="National_Header" localSheetId="0">'2025 LL-CALCULATOR - UNITS'!$E$4:$F$7</definedName>
    <definedName name="National_Header">#REF!</definedName>
    <definedName name="National_ProductForm" localSheetId="0">'2025 LL-CALCULATOR - UNITS'!$E$11:$AA$30</definedName>
    <definedName name="National_ProductForm">#REF!</definedName>
    <definedName name="National_Summary" localSheetId="0">'2025 LL-CALCULATOR - UNITS'!$E$31:$J$44</definedName>
    <definedName name="National_Summary">#REF!</definedName>
    <definedName name="NYNassauSuffolk_Header">#REF!</definedName>
    <definedName name="NYNassauSuffolk_ProductForm">#REF!</definedName>
    <definedName name="NYNassauSuffolk_Summary">#REF!</definedName>
    <definedName name="Washington_Header">#REF!</definedName>
    <definedName name="Washington_ProductForm">#REF!</definedName>
    <definedName name="Washington_Summ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9" l="1"/>
  <c r="C36" i="9"/>
  <c r="C37" i="9"/>
  <c r="M83" i="7" l="1"/>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5" i="7"/>
  <c r="M4" i="7"/>
  <c r="C39" i="9"/>
  <c r="U29" i="5" l="1"/>
  <c r="W17" i="5"/>
  <c r="X17" i="5" s="1"/>
  <c r="X26" i="5"/>
  <c r="V26" i="5"/>
  <c r="X25" i="5"/>
  <c r="V25" i="5"/>
  <c r="X28" i="5"/>
  <c r="V28" i="5"/>
  <c r="X27" i="5"/>
  <c r="V27" i="5"/>
  <c r="X24" i="5"/>
  <c r="V24" i="5"/>
  <c r="X23" i="5"/>
  <c r="V23" i="5"/>
  <c r="X22" i="5"/>
  <c r="V22" i="5"/>
  <c r="X21" i="5"/>
  <c r="V21" i="5"/>
  <c r="W20" i="5"/>
  <c r="X20" i="5" s="1"/>
  <c r="X19" i="5"/>
  <c r="V19" i="5"/>
  <c r="X18" i="5"/>
  <c r="V18" i="5"/>
  <c r="X16" i="5"/>
  <c r="V16" i="5"/>
  <c r="X15" i="5"/>
  <c r="V15" i="5"/>
  <c r="T29" i="5"/>
  <c r="H26" i="9" l="1"/>
  <c r="C26" i="9"/>
  <c r="C25" i="9"/>
  <c r="C24" i="9"/>
  <c r="C23" i="9"/>
  <c r="C22" i="9"/>
  <c r="C21" i="9"/>
  <c r="C20" i="9"/>
  <c r="C19" i="9"/>
  <c r="C18" i="9"/>
  <c r="C17" i="9"/>
  <c r="C16" i="9"/>
  <c r="C15" i="9"/>
  <c r="C14" i="9"/>
  <c r="C13" i="9"/>
  <c r="C12" i="9"/>
  <c r="R26" i="5" l="1"/>
  <c r="R25" i="5"/>
  <c r="R24" i="5"/>
  <c r="R23" i="5"/>
  <c r="R22" i="5"/>
  <c r="N26" i="5"/>
  <c r="N25" i="5"/>
  <c r="N24" i="5"/>
  <c r="N23" i="5"/>
  <c r="N22" i="5"/>
  <c r="D25" i="9"/>
  <c r="D24" i="9"/>
  <c r="D23" i="9"/>
  <c r="D22" i="9"/>
  <c r="D21" i="9"/>
  <c r="D20" i="9"/>
  <c r="D19" i="9"/>
  <c r="D18" i="9"/>
  <c r="D17" i="9"/>
  <c r="D16" i="9"/>
  <c r="D15" i="9"/>
  <c r="D14" i="9"/>
  <c r="D13" i="9"/>
  <c r="D12" i="9"/>
  <c r="F25" i="9"/>
  <c r="E25" i="9"/>
  <c r="F24" i="9"/>
  <c r="E24" i="9"/>
  <c r="G23" i="9"/>
  <c r="F23" i="9"/>
  <c r="E23" i="9"/>
  <c r="G22" i="9"/>
  <c r="F22" i="9"/>
  <c r="E22" i="9"/>
  <c r="G21" i="9"/>
  <c r="F21" i="9"/>
  <c r="E21" i="9"/>
  <c r="G20" i="9"/>
  <c r="F20" i="9"/>
  <c r="E20" i="9"/>
  <c r="G19" i="9"/>
  <c r="F19" i="9"/>
  <c r="E19" i="9"/>
  <c r="G18" i="9"/>
  <c r="F18" i="9"/>
  <c r="E18" i="9"/>
  <c r="F17" i="9"/>
  <c r="E17" i="9"/>
  <c r="F16" i="9"/>
  <c r="E16" i="9"/>
  <c r="F15" i="9"/>
  <c r="E15" i="9"/>
  <c r="F14" i="9"/>
  <c r="E14" i="9"/>
  <c r="F13" i="9"/>
  <c r="E13" i="9"/>
  <c r="F12" i="9"/>
  <c r="E12" i="9"/>
  <c r="M3" i="7"/>
  <c r="N15" i="7"/>
  <c r="P52" i="7"/>
  <c r="H19" i="9" l="1"/>
  <c r="T22" i="5"/>
  <c r="U22" i="5" s="1"/>
  <c r="Y22" i="5" s="1"/>
  <c r="Z22" i="5" s="1"/>
  <c r="H20" i="9"/>
  <c r="T23" i="5"/>
  <c r="U23" i="5" s="1"/>
  <c r="Y23" i="5" s="1"/>
  <c r="Z23" i="5" s="1"/>
  <c r="H21" i="9"/>
  <c r="T24" i="5"/>
  <c r="I21" i="9" s="1"/>
  <c r="H22" i="9"/>
  <c r="T25" i="5"/>
  <c r="U25" i="5" s="1"/>
  <c r="Y25" i="5" s="1"/>
  <c r="Z25" i="5" s="1"/>
  <c r="H23" i="9"/>
  <c r="T26" i="5"/>
  <c r="U26" i="5" s="1"/>
  <c r="Y26" i="5" s="1"/>
  <c r="Z26" i="5" s="1"/>
  <c r="U24" i="5" l="1"/>
  <c r="Y24" i="5" s="1"/>
  <c r="Z24" i="5" s="1"/>
  <c r="I19" i="9"/>
  <c r="I23" i="9"/>
  <c r="I22" i="9"/>
  <c r="I20" i="9"/>
  <c r="B28" i="5"/>
  <c r="I28" i="5" s="1"/>
  <c r="B27" i="5"/>
  <c r="I27" i="5" s="1"/>
  <c r="B26" i="5"/>
  <c r="I26" i="5" s="1"/>
  <c r="B25" i="5"/>
  <c r="I25" i="5" s="1"/>
  <c r="B24" i="5"/>
  <c r="I24" i="5" s="1"/>
  <c r="B23" i="5"/>
  <c r="I23" i="5" s="1"/>
  <c r="B22" i="5"/>
  <c r="I22" i="5" s="1"/>
  <c r="B21" i="5"/>
  <c r="I21" i="5" s="1"/>
  <c r="B20" i="5"/>
  <c r="I20" i="5" s="1"/>
  <c r="B19" i="5"/>
  <c r="I19" i="5" s="1"/>
  <c r="B18" i="5"/>
  <c r="I18" i="5" s="1"/>
  <c r="B17" i="5"/>
  <c r="I17" i="5" s="1"/>
  <c r="B16" i="5"/>
  <c r="I16" i="5" s="1"/>
  <c r="B15" i="5"/>
  <c r="I15" i="5" s="1"/>
  <c r="L26" i="5"/>
  <c r="L25" i="5"/>
  <c r="L24" i="5"/>
  <c r="L23" i="5"/>
  <c r="L22" i="5"/>
  <c r="L21" i="5"/>
  <c r="K78" i="7"/>
  <c r="K79" i="7"/>
  <c r="M28" i="5"/>
  <c r="K28" i="5"/>
  <c r="L28" i="5" s="1"/>
  <c r="M27" i="5"/>
  <c r="K27" i="5"/>
  <c r="L27" i="5" s="1"/>
  <c r="R21" i="5"/>
  <c r="N21" i="5"/>
  <c r="H18" i="9" s="1"/>
  <c r="M20" i="5"/>
  <c r="K20" i="5"/>
  <c r="L20" i="5" s="1"/>
  <c r="M19" i="5"/>
  <c r="K19" i="5"/>
  <c r="L19" i="5" s="1"/>
  <c r="M18" i="5"/>
  <c r="K18" i="5"/>
  <c r="L18" i="5" s="1"/>
  <c r="M17" i="5"/>
  <c r="G14" i="9" s="1"/>
  <c r="K17" i="5"/>
  <c r="L17" i="5" s="1"/>
  <c r="M16" i="5"/>
  <c r="K16" i="5"/>
  <c r="L16" i="5" s="1"/>
  <c r="M15" i="5"/>
  <c r="K15" i="5"/>
  <c r="L15" i="5" s="1"/>
  <c r="L80" i="7"/>
  <c r="L79" i="7"/>
  <c r="L78" i="7"/>
  <c r="K80" i="7"/>
  <c r="J82" i="7"/>
  <c r="F83" i="7"/>
  <c r="F82" i="7"/>
  <c r="F81" i="7"/>
  <c r="F80" i="7"/>
  <c r="F79" i="7"/>
  <c r="F78" i="7"/>
  <c r="F77" i="7"/>
  <c r="F76" i="7"/>
  <c r="F75" i="7"/>
  <c r="F74" i="7"/>
  <c r="F73" i="7"/>
  <c r="F72" i="7"/>
  <c r="N72" i="7" s="1"/>
  <c r="F71" i="7"/>
  <c r="F70" i="7"/>
  <c r="F69" i="7"/>
  <c r="F68" i="7"/>
  <c r="F67" i="7"/>
  <c r="C67" i="7"/>
  <c r="C68" i="7"/>
  <c r="C69" i="7"/>
  <c r="C70" i="7"/>
  <c r="C71" i="7"/>
  <c r="C72" i="7"/>
  <c r="C73" i="7"/>
  <c r="C74" i="7"/>
  <c r="C75" i="7"/>
  <c r="C76" i="7"/>
  <c r="C77" i="7"/>
  <c r="C78" i="7"/>
  <c r="C79" i="7"/>
  <c r="C80" i="7"/>
  <c r="C81" i="7"/>
  <c r="C82" i="7"/>
  <c r="C83" i="7"/>
  <c r="D67" i="7"/>
  <c r="D68" i="7"/>
  <c r="D69" i="7"/>
  <c r="D70" i="7"/>
  <c r="D71" i="7"/>
  <c r="D72" i="7"/>
  <c r="D73" i="7"/>
  <c r="D74" i="7"/>
  <c r="D75" i="7"/>
  <c r="D76" i="7"/>
  <c r="D77" i="7"/>
  <c r="D78" i="7"/>
  <c r="D79" i="7"/>
  <c r="D80" i="7"/>
  <c r="D81" i="7"/>
  <c r="D82" i="7"/>
  <c r="D83" i="7"/>
  <c r="E67" i="7"/>
  <c r="E68" i="7"/>
  <c r="E69" i="7"/>
  <c r="E70" i="7"/>
  <c r="E71" i="7"/>
  <c r="E72" i="7"/>
  <c r="E73" i="7"/>
  <c r="E74" i="7"/>
  <c r="E75" i="7"/>
  <c r="E76" i="7"/>
  <c r="E77" i="7"/>
  <c r="E78" i="7"/>
  <c r="E79" i="7"/>
  <c r="E80" i="7"/>
  <c r="E81" i="7"/>
  <c r="E82" i="7"/>
  <c r="E83" i="7"/>
  <c r="P67" i="7"/>
  <c r="P68" i="7"/>
  <c r="P70" i="7"/>
  <c r="P77" i="7"/>
  <c r="P78" i="7"/>
  <c r="P79" i="7"/>
  <c r="P81" i="7"/>
  <c r="P83" i="7"/>
  <c r="O67" i="7"/>
  <c r="O68" i="7"/>
  <c r="O69" i="7"/>
  <c r="O70" i="7"/>
  <c r="O71" i="7"/>
  <c r="O72" i="7"/>
  <c r="O73" i="7"/>
  <c r="O74" i="7"/>
  <c r="O75" i="7"/>
  <c r="O76" i="7"/>
  <c r="O77" i="7"/>
  <c r="O78" i="7"/>
  <c r="O79" i="7"/>
  <c r="O80" i="7"/>
  <c r="O81" i="7"/>
  <c r="O82" i="7"/>
  <c r="O83" i="7"/>
  <c r="J25" i="7"/>
  <c r="L64" i="7"/>
  <c r="L62" i="7"/>
  <c r="L61" i="7"/>
  <c r="L60" i="7"/>
  <c r="L59" i="7"/>
  <c r="L58" i="7"/>
  <c r="L57" i="7"/>
  <c r="L56" i="7"/>
  <c r="L27" i="7"/>
  <c r="L26" i="7"/>
  <c r="L25" i="7"/>
  <c r="L3" i="7"/>
  <c r="K62" i="7"/>
  <c r="K61" i="7"/>
  <c r="K60" i="7"/>
  <c r="K59" i="7"/>
  <c r="K58" i="7"/>
  <c r="K57" i="7"/>
  <c r="K56" i="7"/>
  <c r="K3" i="7"/>
  <c r="J64" i="7"/>
  <c r="J63" i="7"/>
  <c r="J55" i="7"/>
  <c r="J27" i="7"/>
  <c r="J26" i="7"/>
  <c r="J3"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4" i="7"/>
  <c r="F13" i="7"/>
  <c r="F12" i="7"/>
  <c r="F11" i="7"/>
  <c r="F10" i="7"/>
  <c r="F9" i="7"/>
  <c r="F8" i="7"/>
  <c r="F7" i="7"/>
  <c r="F6" i="7"/>
  <c r="F5" i="7"/>
  <c r="F4" i="7"/>
  <c r="F3" i="7"/>
  <c r="N3" i="7" s="1"/>
  <c r="C48" i="7"/>
  <c r="C49" i="7"/>
  <c r="C50" i="7"/>
  <c r="C51" i="7"/>
  <c r="C52" i="7"/>
  <c r="C53" i="7"/>
  <c r="C54" i="7"/>
  <c r="C55" i="7"/>
  <c r="C56" i="7"/>
  <c r="C57" i="7"/>
  <c r="C58" i="7"/>
  <c r="C59" i="7"/>
  <c r="C60" i="7"/>
  <c r="C61" i="7"/>
  <c r="C62" i="7"/>
  <c r="C63" i="7"/>
  <c r="C64" i="7"/>
  <c r="C65" i="7"/>
  <c r="C66" i="7"/>
  <c r="D48" i="7"/>
  <c r="D49" i="7"/>
  <c r="D50" i="7"/>
  <c r="D51" i="7"/>
  <c r="D52" i="7"/>
  <c r="D53" i="7"/>
  <c r="D54" i="7"/>
  <c r="D55" i="7"/>
  <c r="D56" i="7"/>
  <c r="D57" i="7"/>
  <c r="D58" i="7"/>
  <c r="D59" i="7"/>
  <c r="D60" i="7"/>
  <c r="D61" i="7"/>
  <c r="D62" i="7"/>
  <c r="D63" i="7"/>
  <c r="D64" i="7"/>
  <c r="D65" i="7"/>
  <c r="D66" i="7"/>
  <c r="E48" i="7"/>
  <c r="E49" i="7"/>
  <c r="E50" i="7"/>
  <c r="E51" i="7"/>
  <c r="E52" i="7"/>
  <c r="E53" i="7"/>
  <c r="E54" i="7"/>
  <c r="E55" i="7"/>
  <c r="E56" i="7"/>
  <c r="E57" i="7"/>
  <c r="E58" i="7"/>
  <c r="E59" i="7"/>
  <c r="E60" i="7"/>
  <c r="E61" i="7"/>
  <c r="E62" i="7"/>
  <c r="E63" i="7"/>
  <c r="E64" i="7"/>
  <c r="E65" i="7"/>
  <c r="E66" i="7"/>
  <c r="P48" i="7"/>
  <c r="P50" i="7"/>
  <c r="P54" i="7"/>
  <c r="P64" i="7"/>
  <c r="P65" i="7"/>
  <c r="P66" i="7"/>
  <c r="O48" i="7"/>
  <c r="O49" i="7"/>
  <c r="O50" i="7"/>
  <c r="O51" i="7"/>
  <c r="O52" i="7"/>
  <c r="O53" i="7"/>
  <c r="O54" i="7"/>
  <c r="O55" i="7"/>
  <c r="O56" i="7"/>
  <c r="O57" i="7"/>
  <c r="O58" i="7"/>
  <c r="O59" i="7"/>
  <c r="O60" i="7"/>
  <c r="O61" i="7"/>
  <c r="O62" i="7"/>
  <c r="O63" i="7"/>
  <c r="O64" i="7"/>
  <c r="O65" i="7"/>
  <c r="O66" i="7"/>
  <c r="C3" i="7"/>
  <c r="D3" i="7"/>
  <c r="E3" i="7"/>
  <c r="C4" i="7"/>
  <c r="D4" i="7"/>
  <c r="E4" i="7"/>
  <c r="C5" i="7"/>
  <c r="D5" i="7"/>
  <c r="E5" i="7"/>
  <c r="C6" i="7"/>
  <c r="D6" i="7"/>
  <c r="E6" i="7"/>
  <c r="C7" i="7"/>
  <c r="D7" i="7"/>
  <c r="E7" i="7"/>
  <c r="C8" i="7"/>
  <c r="D8" i="7"/>
  <c r="E8" i="7"/>
  <c r="C9" i="7"/>
  <c r="D9" i="7"/>
  <c r="E9" i="7"/>
  <c r="C10" i="7"/>
  <c r="D10" i="7"/>
  <c r="E10" i="7"/>
  <c r="C11" i="7"/>
  <c r="D11" i="7"/>
  <c r="E11" i="7"/>
  <c r="C12" i="7"/>
  <c r="D12" i="7"/>
  <c r="E12" i="7"/>
  <c r="C13" i="7"/>
  <c r="D13" i="7"/>
  <c r="E13" i="7"/>
  <c r="C14" i="7"/>
  <c r="D14" i="7"/>
  <c r="E14" i="7"/>
  <c r="C15" i="7"/>
  <c r="D15" i="7"/>
  <c r="E15" i="7"/>
  <c r="C16" i="7"/>
  <c r="D16" i="7"/>
  <c r="E16" i="7"/>
  <c r="C17" i="7"/>
  <c r="D17" i="7"/>
  <c r="E17" i="7"/>
  <c r="C18" i="7"/>
  <c r="D18" i="7"/>
  <c r="E18" i="7"/>
  <c r="C19" i="7"/>
  <c r="D19" i="7"/>
  <c r="E19" i="7"/>
  <c r="C20" i="7"/>
  <c r="D20" i="7"/>
  <c r="E20" i="7"/>
  <c r="C21" i="7"/>
  <c r="D21" i="7"/>
  <c r="E21" i="7"/>
  <c r="C22" i="7"/>
  <c r="D22" i="7"/>
  <c r="E22" i="7"/>
  <c r="C23" i="7"/>
  <c r="D23" i="7"/>
  <c r="E23" i="7"/>
  <c r="C24" i="7"/>
  <c r="D24" i="7"/>
  <c r="E24" i="7"/>
  <c r="C25" i="7"/>
  <c r="D25" i="7"/>
  <c r="E25" i="7"/>
  <c r="C26" i="7"/>
  <c r="D26" i="7"/>
  <c r="E26" i="7"/>
  <c r="C27" i="7"/>
  <c r="D27" i="7"/>
  <c r="E27" i="7"/>
  <c r="C28" i="7"/>
  <c r="D28" i="7"/>
  <c r="E28" i="7"/>
  <c r="C29" i="7"/>
  <c r="D29" i="7"/>
  <c r="E29" i="7"/>
  <c r="C30" i="7"/>
  <c r="D30" i="7"/>
  <c r="E30" i="7"/>
  <c r="C31" i="7"/>
  <c r="D31" i="7"/>
  <c r="E31" i="7"/>
  <c r="C32" i="7"/>
  <c r="D32" i="7"/>
  <c r="E32" i="7"/>
  <c r="C33" i="7"/>
  <c r="D33" i="7"/>
  <c r="E33" i="7"/>
  <c r="C34" i="7"/>
  <c r="D34" i="7"/>
  <c r="E34" i="7"/>
  <c r="C35" i="7"/>
  <c r="D35" i="7"/>
  <c r="E35" i="7"/>
  <c r="C36" i="7"/>
  <c r="D36" i="7"/>
  <c r="E36" i="7"/>
  <c r="C37" i="7"/>
  <c r="D37" i="7"/>
  <c r="E37" i="7"/>
  <c r="C38" i="7"/>
  <c r="D38" i="7"/>
  <c r="E38" i="7"/>
  <c r="C39" i="7"/>
  <c r="D39" i="7"/>
  <c r="E39" i="7"/>
  <c r="C40" i="7"/>
  <c r="D40" i="7"/>
  <c r="E40" i="7"/>
  <c r="C41" i="7"/>
  <c r="D41" i="7"/>
  <c r="E41" i="7"/>
  <c r="C42" i="7"/>
  <c r="D42" i="7"/>
  <c r="E42" i="7"/>
  <c r="C43" i="7"/>
  <c r="D43" i="7"/>
  <c r="E43" i="7"/>
  <c r="C44" i="7"/>
  <c r="D44" i="7"/>
  <c r="E44" i="7"/>
  <c r="C45" i="7"/>
  <c r="D45" i="7"/>
  <c r="E45" i="7"/>
  <c r="C46" i="7"/>
  <c r="D46" i="7"/>
  <c r="E46" i="7"/>
  <c r="C47" i="7"/>
  <c r="D47" i="7"/>
  <c r="E47" i="7"/>
  <c r="C40" i="9"/>
  <c r="C38" i="9"/>
  <c r="C34" i="9"/>
  <c r="C33" i="9"/>
  <c r="C32" i="9"/>
  <c r="C31" i="9"/>
  <c r="N34" i="7" l="1"/>
  <c r="N58" i="7"/>
  <c r="N74" i="7"/>
  <c r="N27" i="7"/>
  <c r="O16" i="5"/>
  <c r="N14" i="7"/>
  <c r="N7" i="7"/>
  <c r="N24" i="7"/>
  <c r="N40" i="7"/>
  <c r="N56" i="7"/>
  <c r="N64" i="7"/>
  <c r="N80" i="7"/>
  <c r="N82" i="7"/>
  <c r="N35" i="7"/>
  <c r="N6" i="7"/>
  <c r="N16" i="7"/>
  <c r="O17" i="5"/>
  <c r="N32" i="7"/>
  <c r="N48" i="7"/>
  <c r="N8" i="7"/>
  <c r="N17" i="7"/>
  <c r="N25" i="7"/>
  <c r="O18" i="5"/>
  <c r="N33" i="7"/>
  <c r="N41" i="7"/>
  <c r="N49" i="7"/>
  <c r="N57" i="7"/>
  <c r="N65" i="7"/>
  <c r="N73" i="7"/>
  <c r="N81" i="7"/>
  <c r="N66" i="7"/>
  <c r="N51" i="7"/>
  <c r="N59" i="7"/>
  <c r="N9" i="7"/>
  <c r="N42" i="7"/>
  <c r="N19" i="7"/>
  <c r="N67" i="7"/>
  <c r="O20" i="5"/>
  <c r="N52" i="7"/>
  <c r="P20" i="5" s="1"/>
  <c r="N68" i="7"/>
  <c r="N76" i="7"/>
  <c r="N50" i="7"/>
  <c r="N83" i="7"/>
  <c r="N36" i="7"/>
  <c r="N44" i="7"/>
  <c r="N60" i="7"/>
  <c r="N12" i="7"/>
  <c r="N21" i="7"/>
  <c r="N29" i="7"/>
  <c r="N37" i="7"/>
  <c r="N45" i="7"/>
  <c r="N53" i="7"/>
  <c r="N61" i="7"/>
  <c r="N69" i="7"/>
  <c r="N77" i="7"/>
  <c r="N18" i="7"/>
  <c r="N10" i="7"/>
  <c r="N75" i="7"/>
  <c r="N11" i="7"/>
  <c r="N20" i="7"/>
  <c r="N28" i="7"/>
  <c r="N4" i="7"/>
  <c r="N5" i="7"/>
  <c r="O15" i="5"/>
  <c r="N13" i="7"/>
  <c r="N22" i="7"/>
  <c r="N30" i="7"/>
  <c r="N38" i="7"/>
  <c r="O19" i="5"/>
  <c r="N46" i="7"/>
  <c r="O24" i="5"/>
  <c r="N54" i="7"/>
  <c r="O23" i="5"/>
  <c r="O26" i="5"/>
  <c r="O22" i="5"/>
  <c r="O25" i="5"/>
  <c r="O21" i="5"/>
  <c r="N62" i="7"/>
  <c r="N70" i="7"/>
  <c r="N78" i="7"/>
  <c r="N26" i="7"/>
  <c r="N43" i="7"/>
  <c r="N23" i="7"/>
  <c r="N31" i="7"/>
  <c r="N39" i="7"/>
  <c r="N47" i="7"/>
  <c r="O27" i="5"/>
  <c r="N55" i="7"/>
  <c r="P27" i="5" s="1"/>
  <c r="Q27" i="5" s="1"/>
  <c r="R27" i="5" s="1"/>
  <c r="O28" i="5"/>
  <c r="N63" i="7"/>
  <c r="P28" i="5" s="1"/>
  <c r="Q28" i="5" s="1"/>
  <c r="R28" i="5" s="1"/>
  <c r="N71" i="7"/>
  <c r="N79" i="7"/>
  <c r="N15" i="5"/>
  <c r="G12" i="9"/>
  <c r="N27" i="5"/>
  <c r="G24" i="9"/>
  <c r="N20" i="5"/>
  <c r="G17" i="9"/>
  <c r="N18" i="5"/>
  <c r="G15" i="9"/>
  <c r="N19" i="5"/>
  <c r="G16" i="9"/>
  <c r="N28" i="5"/>
  <c r="G25" i="9"/>
  <c r="N16" i="5"/>
  <c r="G13" i="9"/>
  <c r="P82" i="7"/>
  <c r="P63" i="7"/>
  <c r="P55" i="7"/>
  <c r="N17" i="5"/>
  <c r="O3" i="7"/>
  <c r="O4"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H25" i="9" l="1"/>
  <c r="H16" i="9"/>
  <c r="H14" i="9"/>
  <c r="H24" i="9"/>
  <c r="H15" i="9"/>
  <c r="H13" i="9"/>
  <c r="H17" i="9"/>
  <c r="H12" i="9"/>
  <c r="N30" i="5"/>
  <c r="H35" i="5" s="1"/>
  <c r="P45" i="5"/>
  <c r="P23" i="5"/>
  <c r="P22" i="5"/>
  <c r="P26" i="5"/>
  <c r="P25" i="5"/>
  <c r="P21" i="5"/>
  <c r="P24" i="5"/>
  <c r="N11" i="5" l="1"/>
  <c r="C2" i="9"/>
  <c r="D7" i="9" l="1"/>
  <c r="D6" i="9"/>
  <c r="D5" i="9"/>
  <c r="D4" i="9"/>
  <c r="D3" i="9"/>
  <c r="P10" i="7"/>
  <c r="P5" i="7"/>
  <c r="P6" i="7"/>
  <c r="P7" i="7"/>
  <c r="P8" i="7"/>
  <c r="P9" i="7"/>
  <c r="P11" i="7"/>
  <c r="P13" i="7"/>
  <c r="P14" i="7"/>
  <c r="P15" i="7"/>
  <c r="P16" i="7"/>
  <c r="P17" i="7"/>
  <c r="P18" i="7"/>
  <c r="P19" i="7"/>
  <c r="P20" i="7"/>
  <c r="P21" i="7"/>
  <c r="P22" i="7"/>
  <c r="P23" i="7"/>
  <c r="P24" i="7"/>
  <c r="P25" i="7"/>
  <c r="P26" i="7"/>
  <c r="P27" i="7"/>
  <c r="P32" i="7"/>
  <c r="P33" i="7"/>
  <c r="P36" i="7"/>
  <c r="P40" i="7"/>
  <c r="P46" i="7"/>
  <c r="AF56" i="6"/>
  <c r="P1" i="7" l="1"/>
  <c r="K28" i="7"/>
  <c r="L28" i="7"/>
  <c r="J28" i="7"/>
  <c r="AF57" i="6"/>
  <c r="L30" i="5"/>
  <c r="P15" i="5"/>
  <c r="P19" i="5"/>
  <c r="P17" i="5"/>
  <c r="P18" i="5"/>
  <c r="H36" i="5" l="1"/>
  <c r="I37" i="5" s="1"/>
  <c r="H37" i="5" s="1"/>
  <c r="H27" i="9"/>
  <c r="P16" i="5"/>
  <c r="AF58" i="6"/>
  <c r="L29" i="7"/>
  <c r="J29" i="7"/>
  <c r="K29" i="7"/>
  <c r="G31" i="9"/>
  <c r="U11" i="5" l="1"/>
  <c r="U9" i="5" s="1"/>
  <c r="V6" i="5"/>
  <c r="U6" i="5"/>
  <c r="X6" i="5"/>
  <c r="W6" i="5"/>
  <c r="AF122" i="6"/>
  <c r="L30" i="7"/>
  <c r="J30" i="7"/>
  <c r="K30" i="7"/>
  <c r="AF59" i="6"/>
  <c r="AF159" i="6" l="1"/>
  <c r="L31" i="7"/>
  <c r="J31" i="7"/>
  <c r="K31" i="7"/>
  <c r="AF123" i="6"/>
  <c r="AF124" i="6" s="1"/>
  <c r="AF125" i="6" s="1"/>
  <c r="AF27" i="6"/>
  <c r="K83" i="7" l="1"/>
  <c r="J83" i="7"/>
  <c r="L66" i="7"/>
  <c r="AF6" i="6"/>
  <c r="L83" i="7"/>
  <c r="J65" i="7"/>
  <c r="K65" i="7"/>
  <c r="AF28" i="6"/>
  <c r="AF29" i="6" s="1"/>
  <c r="AF30" i="6" s="1"/>
  <c r="J15" i="7"/>
  <c r="AF7" i="6"/>
  <c r="AF8" i="6" s="1"/>
  <c r="AF9" i="6" s="1"/>
  <c r="L65" i="7"/>
  <c r="AF3" i="6"/>
  <c r="L6" i="7" l="1"/>
  <c r="J6" i="7"/>
  <c r="K6" i="7"/>
  <c r="K15" i="7"/>
  <c r="AF10" i="6"/>
  <c r="AF11" i="6" s="1"/>
  <c r="AF12" i="6" s="1"/>
  <c r="AF4" i="6"/>
  <c r="L4" i="7"/>
  <c r="J4" i="7"/>
  <c r="K4" i="7"/>
  <c r="AF31" i="6"/>
  <c r="AF137" i="6" s="1"/>
  <c r="L16" i="7"/>
  <c r="J16" i="7" l="1"/>
  <c r="K16" i="7"/>
  <c r="AF138" i="6"/>
  <c r="J70" i="7"/>
  <c r="K70" i="7"/>
  <c r="L70" i="7"/>
  <c r="J7" i="7"/>
  <c r="AF5" i="6"/>
  <c r="J5" i="7" s="1"/>
  <c r="AF13" i="6"/>
  <c r="AF14" i="6" s="1"/>
  <c r="AF60" i="6" s="1"/>
  <c r="K7" i="7"/>
  <c r="L7" i="7"/>
  <c r="H41" i="5"/>
  <c r="I41" i="5" s="1"/>
  <c r="G32" i="9"/>
  <c r="Z6" i="5"/>
  <c r="Y6" i="5"/>
  <c r="H40" i="5" s="1"/>
  <c r="I40" i="5" l="1"/>
  <c r="S15" i="5"/>
  <c r="S28" i="5"/>
  <c r="S18" i="5"/>
  <c r="S27" i="5"/>
  <c r="S16" i="5"/>
  <c r="S17" i="5"/>
  <c r="S20" i="5"/>
  <c r="S19" i="5"/>
  <c r="L5" i="7"/>
  <c r="K8" i="7"/>
  <c r="AF32" i="6"/>
  <c r="K71" i="7"/>
  <c r="J71" i="7"/>
  <c r="L71" i="7"/>
  <c r="J8" i="7"/>
  <c r="L8" i="7"/>
  <c r="K5" i="7"/>
  <c r="K32" i="7"/>
  <c r="AF61" i="6"/>
  <c r="AF62" i="6" s="1"/>
  <c r="AF63" i="6" s="1"/>
  <c r="G37" i="9"/>
  <c r="H37" i="9"/>
  <c r="S30" i="5" l="1"/>
  <c r="J32" i="7"/>
  <c r="Q17" i="5" s="1"/>
  <c r="L32" i="7"/>
  <c r="AF33" i="6"/>
  <c r="AF64" i="6"/>
  <c r="AF65" i="6" s="1"/>
  <c r="AF126" i="6" s="1"/>
  <c r="AF15" i="6" s="1"/>
  <c r="L33" i="7"/>
  <c r="J33" i="7"/>
  <c r="Q18" i="5" s="1"/>
  <c r="K33" i="7"/>
  <c r="G36" i="9"/>
  <c r="T28" i="5" l="1"/>
  <c r="T27" i="5"/>
  <c r="T21" i="5"/>
  <c r="R17" i="5"/>
  <c r="R18" i="5"/>
  <c r="AF34" i="6"/>
  <c r="K17" i="7"/>
  <c r="L17" i="7"/>
  <c r="J17" i="7"/>
  <c r="AF140" i="6"/>
  <c r="AF16" i="6"/>
  <c r="AF17" i="6" s="1"/>
  <c r="T17" i="5" l="1"/>
  <c r="I14" i="9" s="1"/>
  <c r="T18" i="5"/>
  <c r="U18" i="5" s="1"/>
  <c r="Y18" i="5" s="1"/>
  <c r="Z18" i="5" s="1"/>
  <c r="I18" i="9"/>
  <c r="U21" i="5"/>
  <c r="Y21" i="5" s="1"/>
  <c r="Z21" i="5" s="1"/>
  <c r="I24" i="9"/>
  <c r="U27" i="5"/>
  <c r="Y27" i="5" s="1"/>
  <c r="Z27" i="5" s="1"/>
  <c r="I25" i="9"/>
  <c r="U28" i="5"/>
  <c r="Y28" i="5" s="1"/>
  <c r="Z28" i="5" s="1"/>
  <c r="AF35" i="6"/>
  <c r="AF141" i="6"/>
  <c r="AF142" i="6" s="1"/>
  <c r="AF76" i="6" s="1"/>
  <c r="K73" i="7"/>
  <c r="L73" i="7"/>
  <c r="J73" i="7"/>
  <c r="AF18" i="6"/>
  <c r="AF66" i="6" s="1"/>
  <c r="L9" i="7"/>
  <c r="J9" i="7"/>
  <c r="K9" i="7"/>
  <c r="U17" i="5" l="1"/>
  <c r="Y17" i="5" s="1"/>
  <c r="Z17" i="5" s="1"/>
  <c r="I15" i="9"/>
  <c r="K10" i="7"/>
  <c r="AF36" i="6"/>
  <c r="AF37" i="6" s="1"/>
  <c r="L18" i="7"/>
  <c r="K18" i="7"/>
  <c r="J18" i="7"/>
  <c r="J10" i="7"/>
  <c r="L10" i="7"/>
  <c r="AF77" i="6"/>
  <c r="AF78" i="6" s="1"/>
  <c r="AF79" i="6" s="1"/>
  <c r="J41" i="7"/>
  <c r="AF67" i="6"/>
  <c r="K34" i="7"/>
  <c r="L34" i="7"/>
  <c r="J34" i="7"/>
  <c r="K41" i="7" l="1"/>
  <c r="L41" i="7"/>
  <c r="AF38" i="6"/>
  <c r="AF139" i="6" s="1"/>
  <c r="AF80" i="6"/>
  <c r="AF81" i="6" s="1"/>
  <c r="AF143" i="6" s="1"/>
  <c r="AF68" i="6"/>
  <c r="K35" i="7"/>
  <c r="L35" i="7"/>
  <c r="J35" i="7"/>
  <c r="AF83" i="6"/>
  <c r="J19" i="7" l="1"/>
  <c r="K19" i="7"/>
  <c r="J42" i="7"/>
  <c r="L42" i="7"/>
  <c r="K42" i="7"/>
  <c r="J72" i="7"/>
  <c r="K72" i="7"/>
  <c r="L72" i="7"/>
  <c r="L19" i="7"/>
  <c r="AF39" i="6"/>
  <c r="L74" i="7"/>
  <c r="K74" i="7"/>
  <c r="J74" i="7"/>
  <c r="AF84" i="6"/>
  <c r="K44" i="7"/>
  <c r="L44" i="7"/>
  <c r="J44" i="7"/>
  <c r="AF69" i="6"/>
  <c r="AF70" i="6" s="1"/>
  <c r="AF71" i="6" s="1"/>
  <c r="K36" i="7"/>
  <c r="L36" i="7"/>
  <c r="J36" i="7"/>
  <c r="H36" i="9"/>
  <c r="AF40" i="6" l="1"/>
  <c r="AF82" i="6" s="1"/>
  <c r="J20" i="7"/>
  <c r="AF72" i="6"/>
  <c r="L37" i="7"/>
  <c r="J37" i="7"/>
  <c r="K37" i="7"/>
  <c r="AF41" i="6"/>
  <c r="L45" i="7"/>
  <c r="J45" i="7"/>
  <c r="K45" i="7"/>
  <c r="L20" i="7" l="1"/>
  <c r="K20" i="7"/>
  <c r="K43" i="7"/>
  <c r="J43" i="7"/>
  <c r="L43" i="7"/>
  <c r="AF42" i="6"/>
  <c r="AF43" i="6" s="1"/>
  <c r="AF73" i="6"/>
  <c r="L38" i="7"/>
  <c r="J38" i="7"/>
  <c r="K38" i="7"/>
  <c r="K21" i="7" l="1"/>
  <c r="L21" i="7"/>
  <c r="J21" i="7"/>
  <c r="AF127" i="6"/>
  <c r="AF128" i="6" s="1"/>
  <c r="AF129" i="6" s="1"/>
  <c r="AF130" i="6" s="1"/>
  <c r="AF131" i="6" s="1"/>
  <c r="AF132" i="6" s="1"/>
  <c r="AF133" i="6" s="1"/>
  <c r="L39" i="7"/>
  <c r="J39" i="7"/>
  <c r="K39" i="7"/>
  <c r="AF44" i="6"/>
  <c r="AF45" i="6" s="1"/>
  <c r="AF85" i="6" s="1"/>
  <c r="AF134" i="6" l="1"/>
  <c r="AF135" i="6" s="1"/>
  <c r="AF136" i="6" s="1"/>
  <c r="J68" i="7"/>
  <c r="K68" i="7"/>
  <c r="L68" i="7"/>
  <c r="AF86" i="6"/>
  <c r="AF87" i="6" s="1"/>
  <c r="AF88" i="6" s="1"/>
  <c r="K22" i="7"/>
  <c r="L22" i="7"/>
  <c r="J22" i="7"/>
  <c r="K46" i="7" l="1"/>
  <c r="J46" i="7"/>
  <c r="Q19" i="5" s="1"/>
  <c r="L46" i="7"/>
  <c r="AF74" i="6"/>
  <c r="J69" i="7"/>
  <c r="K69" i="7"/>
  <c r="L69" i="7"/>
  <c r="AF89" i="6"/>
  <c r="L47" i="7"/>
  <c r="J47" i="7"/>
  <c r="K47" i="7"/>
  <c r="R19" i="5" l="1"/>
  <c r="T19" i="5" s="1"/>
  <c r="AF75" i="6"/>
  <c r="AF19" i="6" s="1"/>
  <c r="K40" i="7"/>
  <c r="L40" i="7"/>
  <c r="J40" i="7"/>
  <c r="AF90" i="6"/>
  <c r="AF91" i="6" s="1"/>
  <c r="AF144" i="6" s="1"/>
  <c r="L48" i="7"/>
  <c r="J48" i="7"/>
  <c r="K48" i="7"/>
  <c r="AF22" i="6"/>
  <c r="I16" i="9" l="1"/>
  <c r="U19" i="5"/>
  <c r="Y19" i="5" s="1"/>
  <c r="Z19" i="5" s="1"/>
  <c r="AF145" i="6"/>
  <c r="AF146" i="6" s="1"/>
  <c r="AF147" i="6" s="1"/>
  <c r="K75" i="7"/>
  <c r="L75" i="7"/>
  <c r="AF20" i="6"/>
  <c r="AF21" i="6" s="1"/>
  <c r="L11" i="7"/>
  <c r="J13" i="7"/>
  <c r="Q15" i="5" s="1"/>
  <c r="AF23" i="6"/>
  <c r="AF24" i="6" s="1"/>
  <c r="AF46" i="6"/>
  <c r="R15" i="5" l="1"/>
  <c r="T15" i="5" s="1"/>
  <c r="K13" i="7"/>
  <c r="J75" i="7"/>
  <c r="J11" i="7"/>
  <c r="K11" i="7"/>
  <c r="L13" i="7"/>
  <c r="L12" i="7"/>
  <c r="J12" i="7"/>
  <c r="K12" i="7"/>
  <c r="AF92" i="6"/>
  <c r="J76" i="7"/>
  <c r="L76" i="7"/>
  <c r="K76" i="7"/>
  <c r="AF47" i="6"/>
  <c r="AF148" i="6" s="1"/>
  <c r="AF25" i="6"/>
  <c r="AF26" i="6" s="1"/>
  <c r="U15" i="5" l="1"/>
  <c r="I12" i="9"/>
  <c r="K23" i="7"/>
  <c r="L23" i="7"/>
  <c r="J23" i="7"/>
  <c r="K77" i="7"/>
  <c r="J77" i="7"/>
  <c r="K14" i="7"/>
  <c r="J14" i="7"/>
  <c r="L14" i="7"/>
  <c r="K49" i="7"/>
  <c r="J49" i="7"/>
  <c r="L49" i="7"/>
  <c r="AF48" i="6"/>
  <c r="L77" i="7"/>
  <c r="Q16" i="5" l="1"/>
  <c r="R16" i="5" s="1"/>
  <c r="T16" i="5" s="1"/>
  <c r="Y15" i="5"/>
  <c r="Z15" i="5" s="1"/>
  <c r="AF49" i="6"/>
  <c r="AF93" i="6" s="1"/>
  <c r="AF94" i="6" s="1"/>
  <c r="K24" i="7"/>
  <c r="AF95" i="6" l="1"/>
  <c r="AF96" i="6" s="1"/>
  <c r="J50" i="7"/>
  <c r="K50" i="7"/>
  <c r="L50" i="7"/>
  <c r="L24" i="7"/>
  <c r="J24" i="7"/>
  <c r="U16" i="5"/>
  <c r="I13" i="9"/>
  <c r="AF97" i="6"/>
  <c r="K51" i="7"/>
  <c r="L51" i="7"/>
  <c r="J51" i="7"/>
  <c r="Y16" i="5" l="1"/>
  <c r="Z16" i="5" s="1"/>
  <c r="L52" i="7"/>
  <c r="J52" i="7"/>
  <c r="Q20" i="5" s="1"/>
  <c r="AF98" i="6"/>
  <c r="AF99" i="6" s="1"/>
  <c r="AF100" i="6" s="1"/>
  <c r="R20" i="5" l="1"/>
  <c r="T20" i="5" s="1"/>
  <c r="K52" i="7"/>
  <c r="AF101" i="6"/>
  <c r="L53" i="7"/>
  <c r="J53" i="7"/>
  <c r="K53" i="7"/>
  <c r="R30" i="5" l="1"/>
  <c r="I39" i="5" s="1"/>
  <c r="I17" i="9"/>
  <c r="U20" i="5"/>
  <c r="L54" i="7"/>
  <c r="J54" i="7"/>
  <c r="K54" i="7"/>
  <c r="AF102" i="6"/>
  <c r="AF103" i="6" s="1"/>
  <c r="I42" i="5" l="1"/>
  <c r="H39" i="5"/>
  <c r="H35" i="9"/>
  <c r="Y20" i="5"/>
  <c r="Z20" i="5" s="1"/>
  <c r="U30" i="5"/>
  <c r="H42" i="5" l="1"/>
  <c r="G38" i="9" s="1"/>
  <c r="G35" i="9"/>
  <c r="I43" i="5"/>
  <c r="H44" i="5"/>
  <c r="E46" i="5"/>
  <c r="C42" i="9" s="1"/>
  <c r="G40" i="9"/>
  <c r="H38" i="9"/>
  <c r="G33" i="9"/>
  <c r="H33" i="9"/>
  <c r="H43" i="5" l="1"/>
  <c r="G39" i="9" s="1"/>
  <c r="H3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 Mckelvie</author>
  </authors>
  <commentList>
    <comment ref="F15" authorId="0" shapeId="0" xr:uid="{3B63AB27-D090-4058-8CA7-FB959AE961DD}">
      <text>
        <r>
          <rPr>
            <b/>
            <sz val="9"/>
            <color indexed="81"/>
            <rFont val="Tahoma"/>
            <family val="2"/>
          </rPr>
          <t>strikethrough on 3rd tier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Guest User</author>
    <author>tc={68F43FED-BFBF-4AE9-B04E-393BFBA7A159}</author>
  </authors>
  <commentList>
    <comment ref="E1" authorId="0" shapeId="0" xr:uid="{01E7B99C-8396-4C51-8C5D-FFE3A94CB28D}">
      <text>
        <r>
          <rPr>
            <sz val="11"/>
            <color theme="1"/>
            <rFont val="Calibri"/>
            <family val="2"/>
          </rPr>
          <t>Unknown User:
Herbicide, Insecticide, Fungucide</t>
        </r>
      </text>
    </comment>
    <comment ref="Q56" authorId="1" shapeId="0" xr:uid="{68F43FED-BFBF-4AE9-B04E-393BFBA7A159}">
      <text>
        <t>[Threaded comment]
Your version of Excel allows you to read this threaded comment; however, any edits to it will get removed if the file is opened in a newer version of Excel. Learn more: https://go.microsoft.com/fwlink/?linkid=870924
Comment:
    The brands where min qty is 175 gal, rebate is $15 rebate/gal.  They can mix and match as they desire</t>
      </text>
    </comment>
  </commentList>
</comments>
</file>

<file path=xl/sharedStrings.xml><?xml version="1.0" encoding="utf-8"?>
<sst xmlns="http://schemas.openxmlformats.org/spreadsheetml/2006/main" count="1820" uniqueCount="367">
  <si>
    <t xml:space="preserve">         LARGE LAWN 2025 NOW SOLUTIONS CALCULATOR                  </t>
  </si>
  <si>
    <t>Additional Rebates &amp; Bonus Unlocks:</t>
  </si>
  <si>
    <t>NAME YOUR DRAFT ORDER HERE:</t>
  </si>
  <si>
    <t>Spend Requirement:</t>
  </si>
  <si>
    <t>$5k+</t>
  </si>
  <si>
    <t>$10k+</t>
  </si>
  <si>
    <t>$20k+</t>
  </si>
  <si>
    <t>$50k+</t>
  </si>
  <si>
    <t>$100k+</t>
  </si>
  <si>
    <t>$150k+</t>
  </si>
  <si>
    <r>
      <rPr>
        <b/>
        <sz val="10"/>
        <color rgb="FF000000"/>
        <rFont val="Calibri"/>
        <family val="2"/>
      </rPr>
      <t>Description</t>
    </r>
    <r>
      <rPr>
        <sz val="10"/>
        <color rgb="FF000000"/>
        <rFont val="Calibri"/>
        <family val="2"/>
      </rPr>
      <t xml:space="preserve">: </t>
    </r>
  </si>
  <si>
    <t>Tier Rebate:</t>
  </si>
  <si>
    <r>
      <rPr>
        <b/>
        <sz val="10"/>
        <color rgb="FF000000"/>
        <rFont val="Calibri"/>
        <family val="2"/>
      </rPr>
      <t>Dist/DSR</t>
    </r>
    <r>
      <rPr>
        <sz val="10"/>
        <color rgb="FF000000"/>
        <rFont val="Calibri"/>
        <family val="2"/>
      </rPr>
      <t xml:space="preserve">: </t>
    </r>
  </si>
  <si>
    <r>
      <rPr>
        <b/>
        <sz val="10"/>
        <color rgb="FF000000"/>
        <rFont val="Calibri"/>
        <family val="2"/>
      </rPr>
      <t>MER#</t>
    </r>
    <r>
      <rPr>
        <sz val="10"/>
        <color rgb="FF000000"/>
        <rFont val="Calibri"/>
        <family val="2"/>
      </rPr>
      <t xml:space="preserve">: </t>
    </r>
  </si>
  <si>
    <t>Product:</t>
  </si>
  <si>
    <t>Volume Buy
(5 or more products)</t>
  </si>
  <si>
    <r>
      <rPr>
        <b/>
        <sz val="10"/>
        <color rgb="FF000000"/>
        <rFont val="Calibri"/>
        <family val="2"/>
      </rPr>
      <t>Last Updated</t>
    </r>
    <r>
      <rPr>
        <sz val="10"/>
        <color rgb="FF000000"/>
        <rFont val="Calibri"/>
        <family val="2"/>
      </rPr>
      <t xml:space="preserve">: </t>
    </r>
  </si>
  <si>
    <r>
      <rPr>
        <b/>
        <sz val="10"/>
        <color rgb="FF000000"/>
        <rFont val="Calibri"/>
        <family val="2"/>
      </rPr>
      <t>Created For</t>
    </r>
    <r>
      <rPr>
        <sz val="10"/>
        <color rgb="FF000000"/>
        <rFont val="Calibri"/>
        <family val="2"/>
      </rPr>
      <t xml:space="preserve">: </t>
    </r>
  </si>
  <si>
    <t>Spend &lt; $50k = 1.0%;   Spend &gt; $50k =  2.0%</t>
  </si>
  <si>
    <t>ZM ADD</t>
  </si>
  <si>
    <t>HIDE</t>
  </si>
  <si>
    <t>SKU Code</t>
  </si>
  <si>
    <t>AGENCY/TT</t>
  </si>
  <si>
    <t>REBATE FINDER. (Minimum Program Purchase to receive rebates is $5,000)</t>
  </si>
  <si>
    <t>PRODUCT NAME</t>
  </si>
  <si>
    <t>UNIT SIZE</t>
  </si>
  <si>
    <t>CATEGORY</t>
  </si>
  <si>
    <t>TIER BONUS ELIGILE</t>
  </si>
  <si>
    <t># UNITS</t>
  </si>
  <si>
    <t>ORIGINAL PRICE</t>
  </si>
  <si>
    <t>INSEASON SUBTOTAL</t>
  </si>
  <si>
    <t>NOW PRICE/
UNIT*</t>
  </si>
  <si>
    <r>
      <t xml:space="preserve">INVOICE SUBTOTAL </t>
    </r>
    <r>
      <rPr>
        <sz val="8"/>
        <color rgb="FF000000"/>
        <rFont val="Calibri"/>
        <family val="2"/>
      </rPr>
      <t>must be a minimum of $5,000 across NOW/FALL program  to receive  rebates</t>
    </r>
  </si>
  <si>
    <t>REBATE TIERS AVAILABLE</t>
  </si>
  <si>
    <t>REBATE TIERS QUALIFIED</t>
  </si>
  <si>
    <t>QUALIFIED REBATE PER UNIT</t>
  </si>
  <si>
    <t>VOL BUY 
REBATES**†</t>
  </si>
  <si>
    <t>ENVU EXTRAS + TIER REBATES</t>
  </si>
  <si>
    <t>NET PRICE/UNIT 
(all NOW rebates)</t>
  </si>
  <si>
    <t>TOTAL AFTER REBATES + EXTRAS</t>
  </si>
  <si>
    <r>
      <t>USE RATE / 1,000 FT</t>
    </r>
    <r>
      <rPr>
        <b/>
        <vertAlign val="superscript"/>
        <sz val="9"/>
        <color rgb="FF000000"/>
        <rFont val="Calibri"/>
        <family val="2"/>
      </rPr>
      <t>2</t>
    </r>
  </si>
  <si>
    <t>USE RATE / ACRE</t>
  </si>
  <si>
    <t>TOTAL ACRES TREATED</t>
  </si>
  <si>
    <t>COST/ ACRE</t>
  </si>
  <si>
    <r>
      <t>COST/ 1,000 FT</t>
    </r>
    <r>
      <rPr>
        <b/>
        <vertAlign val="superscript"/>
        <sz val="9"/>
        <color rgb="FF000000"/>
        <rFont val="Calibri"/>
        <family val="2"/>
      </rPr>
      <t>2</t>
    </r>
  </si>
  <si>
    <t>$410 off 4+</t>
  </si>
  <si>
    <t>Fame® SC Fungicide</t>
  </si>
  <si>
    <t>64 oz</t>
  </si>
  <si>
    <t>Fungicide</t>
  </si>
  <si>
    <t>$1450 off 2+;  $1600 off 4+</t>
  </si>
  <si>
    <t>2.5 gal</t>
  </si>
  <si>
    <t>$12 off 48+;  $24 off 96+</t>
  </si>
  <si>
    <t>Celsius® WG</t>
  </si>
  <si>
    <t>10 oz</t>
  </si>
  <si>
    <t>Herbicide</t>
  </si>
  <si>
    <t>D00000911</t>
  </si>
  <si>
    <t>$12 off 16+;  $24 off 32+</t>
  </si>
  <si>
    <t>Celsius® XTRA</t>
  </si>
  <si>
    <t>$50 off 16+;  $100 off 32+</t>
  </si>
  <si>
    <t>Revolver®</t>
  </si>
  <si>
    <t>87 fl oz</t>
  </si>
  <si>
    <t>$40 off 24+;  $85 off 48+</t>
  </si>
  <si>
    <t>Solitare® WSL Herbicide</t>
  </si>
  <si>
    <t>D00000990</t>
  </si>
  <si>
    <t>n/a</t>
  </si>
  <si>
    <t>Specticle® FLO (1-6 units)</t>
  </si>
  <si>
    <t>1 gal</t>
  </si>
  <si>
    <t>$38 off 7-13 units</t>
  </si>
  <si>
    <t>Specticle® FLO (7-13 units)</t>
  </si>
  <si>
    <t>$32 off 7-13 units</t>
  </si>
  <si>
    <t>Specticle® FLO (14-25 units)</t>
  </si>
  <si>
    <t>$131 off 26-51 units</t>
  </si>
  <si>
    <t>Specticle® FLO (26-51 units)</t>
  </si>
  <si>
    <t>$218 off 52-99 units</t>
  </si>
  <si>
    <t>Specticle® FLO (52-99 units)</t>
  </si>
  <si>
    <t>$320 off 100+ units</t>
  </si>
  <si>
    <t>Specticle® FLO (100+ units)</t>
  </si>
  <si>
    <t>D00000992</t>
  </si>
  <si>
    <t>$8 off 20+;  $18 off 200+</t>
  </si>
  <si>
    <t>Specticle® G</t>
  </si>
  <si>
    <t>50 lb</t>
  </si>
  <si>
    <t>$30 off 24+;  $50 off 48+</t>
  </si>
  <si>
    <t>Tribute® Total</t>
  </si>
  <si>
    <t>6 oz</t>
  </si>
  <si>
    <t>Durentis FAW Program:</t>
  </si>
  <si>
    <t>Summary</t>
  </si>
  <si>
    <t>Summary is provided as an estimate only. See program rules and conditions.</t>
  </si>
  <si>
    <t>TOPCHOICE AND TRIPLE CROWN GOLF ARE RESTRICTED USE PESTICIDES. *Pricing for all states except CA or WA. Must be purchased on a single invoice to receive volume discount price. Purchase tier amount credited for non-agency products is predetermined by Envu. **Must be registered in My Envu Rewards and accept the current Terms and Conditions to participate. ***Customer Fall Solutions and NOW Solutions promotional cumulative purchases (Aug. 1 - Dec. 5, 2025) must be $5,000 or more to qualify for program rebates. Specticle FLO and Ronstar FLO herbicides are not eligible for Envu Extras and tier rebates. New members signed up before Dec. 31, 2025, will receive 2025 NOW/Fall Solutions rebates. All rebates for 2025 NOW/Fall Solutions will be paid in points, which can be redeemed for thousands of catalog items, distributor credits and/or company checks (no checks can be issued to a third party). All products must be invoiced between Aug. 1 and Sept. 30, 2025, to qualify for NOW Solutions. Rebate calculations will be based on the date of actual product invoice and calculator tools are provided for estimation purposes only. Rebates will only be paid or delivered to the company or name listed on the invoice. Please allow for rebates to be fulfilled by July 31, 2026. End users are only eligible for one Envu incentive program on these invoiced products. Must be an end user with MER membership and accept current Terms and Conditions. Resale of product(s) purchased within this program will not qualify for rebates. If questions arise, please contact MER at 1-888-456-6464 or email  info@myenvurewards.com. Envu reserves the right to modify any portion thereof, or discontinue this program without prior notice.</t>
  </si>
  <si>
    <t>Estimated Total Before Off Invoice Discounts:</t>
  </si>
  <si>
    <t>Estimated Invoice Total:</t>
  </si>
  <si>
    <t>Estimated Off-Invoice Discount:</t>
  </si>
  <si>
    <t>Volume Buy Rebate, Envu Extras &amp; Tier Rebates:</t>
  </si>
  <si>
    <t>Title Transfer value shown is Redemption Value for the Programs
†ALWAYS READ AND FOLLOW LABEL INSTRUCTIONS. Environmental Science U.S. LLC, 5000 CentreGreen Way, Suite 400, Cary, NC 27513. For additional product information, call toll-free 1-800-331-2867. www.envu.com. Please verify state registration of these products in your state before selling, using or distributing. Not all products are registered in all states. Envu, the Envu logo and product logos are trademarks owned by Environmental Science U.S. LLC or one of its affiliates. Other trademarks are the property of their respective owners. ©2025 Environmental Science U.S. LLC.</t>
  </si>
  <si>
    <t>Estimated Total Volume Buy Rebate:</t>
  </si>
  <si>
    <t>Estimated Tier Rebate Amount:</t>
  </si>
  <si>
    <t>Estimated Volume Buy Rebate (5 or more products):</t>
  </si>
  <si>
    <t>Estimated Total Rebate:</t>
  </si>
  <si>
    <t xml:space="preserve">Estimated Total Savings (Rebates + Off Invoice Discounts):  </t>
  </si>
  <si>
    <t>Estimated Net Total after Rebates &amp; Discounts:</t>
  </si>
  <si>
    <r>
      <rPr>
        <b/>
        <sz val="10"/>
        <color rgb="FF000000"/>
        <rFont val="Calibri"/>
        <family val="2"/>
      </rPr>
      <t>Distributor/DSR</t>
    </r>
    <r>
      <rPr>
        <sz val="10"/>
        <color rgb="FF000000"/>
        <rFont val="Calibri"/>
        <family val="2"/>
      </rPr>
      <t xml:space="preserve">: </t>
    </r>
  </si>
  <si>
    <t>Page 1 of 1</t>
  </si>
  <si>
    <t>ORIGINAL PRICE/UNIT</t>
  </si>
  <si>
    <t>NOW 
PRICE/UNIT</t>
  </si>
  <si>
    <t>SUBTOTAL</t>
  </si>
  <si>
    <r>
      <t xml:space="preserve">NET PRICE/UNIT
</t>
    </r>
    <r>
      <rPr>
        <b/>
        <i/>
        <sz val="8"/>
        <color rgb="FF000000"/>
        <rFont val="Calibri"/>
        <family val="2"/>
      </rPr>
      <t>(after rebate)</t>
    </r>
  </si>
  <si>
    <t>D00000125</t>
  </si>
  <si>
    <t>SKU CODE</t>
  </si>
  <si>
    <t>Agency/TT</t>
  </si>
  <si>
    <t>Description</t>
  </si>
  <si>
    <t>Size</t>
  </si>
  <si>
    <t>Instances</t>
  </si>
  <si>
    <t>MOQ_1</t>
  </si>
  <si>
    <t>MOQ_2</t>
  </si>
  <si>
    <t>MOQ_3</t>
  </si>
  <si>
    <t>REB_MOQ_1</t>
  </si>
  <si>
    <t>REB_MOQ_2</t>
  </si>
  <si>
    <t>REB_MOQ_3</t>
  </si>
  <si>
    <t>Order Form Quantity</t>
  </si>
  <si>
    <t>Qualified Rebate Tier</t>
  </si>
  <si>
    <t>Column1</t>
  </si>
  <si>
    <t>Volume Buy Counter</t>
  </si>
  <si>
    <t>D00000898</t>
  </si>
  <si>
    <t>D00000907</t>
  </si>
  <si>
    <t>D00000908</t>
  </si>
  <si>
    <t>D00000623</t>
  </si>
  <si>
    <t>D00000624</t>
  </si>
  <si>
    <t>D00000914</t>
  </si>
  <si>
    <t>D00001373</t>
  </si>
  <si>
    <t>D00000934</t>
  </si>
  <si>
    <t>D00000935</t>
  </si>
  <si>
    <t>D00001379</t>
  </si>
  <si>
    <t>D00000965</t>
  </si>
  <si>
    <t>D00000989</t>
  </si>
  <si>
    <t>D00000998</t>
  </si>
  <si>
    <t>D00000665</t>
  </si>
  <si>
    <t>150 gal</t>
  </si>
  <si>
    <t>D00000666</t>
  </si>
  <si>
    <t>D00000946</t>
  </si>
  <si>
    <t>D00000945</t>
  </si>
  <si>
    <t>D00000913</t>
  </si>
  <si>
    <t>D00000986</t>
  </si>
  <si>
    <t>MANUAL</t>
  </si>
  <si>
    <t>D00000675</t>
  </si>
  <si>
    <t>D00000674</t>
  </si>
  <si>
    <t>D00000669</t>
  </si>
  <si>
    <t>D00000670</t>
  </si>
  <si>
    <t>D00000673</t>
  </si>
  <si>
    <t>D00000672</t>
  </si>
  <si>
    <t>D00000671</t>
  </si>
  <si>
    <t>D00000903</t>
  </si>
  <si>
    <t>D00001040</t>
  </si>
  <si>
    <t>D00001275</t>
  </si>
  <si>
    <t>D00000944</t>
  </si>
  <si>
    <t>D00001272</t>
  </si>
  <si>
    <t>D00000961</t>
  </si>
  <si>
    <t>D00000987</t>
  </si>
  <si>
    <t>D00001276</t>
  </si>
  <si>
    <t>D00001012</t>
  </si>
  <si>
    <t>D00001274</t>
  </si>
  <si>
    <t>Manufacturer</t>
  </si>
  <si>
    <t>Segment</t>
  </si>
  <si>
    <t>Region</t>
  </si>
  <si>
    <t>Indication</t>
  </si>
  <si>
    <t>Vol Buys</t>
  </si>
  <si>
    <t>Program</t>
  </si>
  <si>
    <t xml:space="preserve">Old Bayer SKU </t>
  </si>
  <si>
    <t>Old Envu SKU</t>
  </si>
  <si>
    <t>SKU</t>
  </si>
  <si>
    <t>Product</t>
  </si>
  <si>
    <t>2025 In-Season Price</t>
  </si>
  <si>
    <t>NOW Price</t>
  </si>
  <si>
    <t>In SZN-NOW delta</t>
  </si>
  <si>
    <t>Min Qty</t>
  </si>
  <si>
    <t>Rebate $</t>
  </si>
  <si>
    <t>Final Price</t>
  </si>
  <si>
    <t>CA In-season Price</t>
  </si>
  <si>
    <t>CA NOW Price</t>
  </si>
  <si>
    <t>CA Final Price</t>
  </si>
  <si>
    <t>WA In-season Price</t>
  </si>
  <si>
    <t>WA NOW Price</t>
  </si>
  <si>
    <t>WA Final Price</t>
  </si>
  <si>
    <t>Package Ounces</t>
  </si>
  <si>
    <t>Standard Use Rate (oz/M)</t>
  </si>
  <si>
    <t>Standard Use Rate (oz/Acre)</t>
  </si>
  <si>
    <t>Price/1000 sq ft</t>
  </si>
  <si>
    <t>Price/Acre</t>
  </si>
  <si>
    <t>Total %</t>
  </si>
  <si>
    <t>*cumlative</t>
  </si>
  <si>
    <t>Set</t>
  </si>
  <si>
    <t>Envu</t>
  </si>
  <si>
    <t>TT</t>
  </si>
  <si>
    <t>G</t>
  </si>
  <si>
    <t>NST</t>
  </si>
  <si>
    <t>F</t>
  </si>
  <si>
    <t>EOP</t>
  </si>
  <si>
    <t>26 GT</t>
  </si>
  <si>
    <t>L</t>
  </si>
  <si>
    <t>80224672</t>
  </si>
  <si>
    <t>Armada 50 WDG</t>
  </si>
  <si>
    <t>2 lb</t>
  </si>
  <si>
    <t>A</t>
  </si>
  <si>
    <t>X</t>
  </si>
  <si>
    <t>NOW</t>
  </si>
  <si>
    <t>Banol®</t>
  </si>
  <si>
    <t xml:space="preserve">2.5 gal </t>
  </si>
  <si>
    <t>2+</t>
  </si>
  <si>
    <t>LO</t>
  </si>
  <si>
    <t>EOP/ORN</t>
  </si>
  <si>
    <t>86762153</t>
  </si>
  <si>
    <t>Broadform</t>
  </si>
  <si>
    <t>12 oz</t>
  </si>
  <si>
    <t>1-15</t>
  </si>
  <si>
    <t>16-31</t>
  </si>
  <si>
    <t>32+</t>
  </si>
  <si>
    <t>Castlon™</t>
  </si>
  <si>
    <t>5-9</t>
  </si>
  <si>
    <t>10+</t>
  </si>
  <si>
    <t>16 oz</t>
  </si>
  <si>
    <t>4+</t>
  </si>
  <si>
    <t>GL</t>
  </si>
  <si>
    <t>8+</t>
  </si>
  <si>
    <t>87276341</t>
  </si>
  <si>
    <t>Chipco® Signature™</t>
  </si>
  <si>
    <t>11 lb</t>
  </si>
  <si>
    <t>9+</t>
  </si>
  <si>
    <t>87348709</t>
  </si>
  <si>
    <t>D00000926</t>
  </si>
  <si>
    <t>Densicor®</t>
  </si>
  <si>
    <t>51 oz</t>
  </si>
  <si>
    <t>NA</t>
  </si>
  <si>
    <t>3+</t>
  </si>
  <si>
    <t>Exteris® Stressgard®</t>
  </si>
  <si>
    <t> 2.5 gal</t>
  </si>
  <si>
    <t>6+</t>
  </si>
  <si>
    <t>FMC</t>
  </si>
  <si>
    <t>Fame® +C Fungicide</t>
  </si>
  <si>
    <t>2-3</t>
  </si>
  <si>
    <t>80910932</t>
  </si>
  <si>
    <t>Fiata® Stressgard®</t>
  </si>
  <si>
    <t>16+</t>
  </si>
  <si>
    <t>84411426</t>
  </si>
  <si>
    <t>D00000940</t>
  </si>
  <si>
    <t>Indemnify®</t>
  </si>
  <si>
    <t>17.1 fl oz</t>
  </si>
  <si>
    <t>3-5</t>
  </si>
  <si>
    <t>Interface® Stressgard®</t>
  </si>
  <si>
    <t xml:space="preserve">Kalida® Fungicide </t>
  </si>
  <si>
    <t>80973942</t>
  </si>
  <si>
    <t>Mirage® Stressgard®</t>
  </si>
  <si>
    <t xml:space="preserve">Rayora® Fungicide </t>
  </si>
  <si>
    <t>Resilia™</t>
  </si>
  <si>
    <t>2.72 gal</t>
  </si>
  <si>
    <t>4-14</t>
  </si>
  <si>
    <t>15+</t>
  </si>
  <si>
    <t xml:space="preserve">Serata® Fungicide </t>
  </si>
  <si>
    <t>35 oz</t>
  </si>
  <si>
    <t>85355422</t>
  </si>
  <si>
    <t xml:space="preserve">Signature™ XTRA Stressgard® </t>
  </si>
  <si>
    <t>5.5 lb</t>
  </si>
  <si>
    <t>24+</t>
  </si>
  <si>
    <t>81760942</t>
  </si>
  <si>
    <t xml:space="preserve">Tartan® Stressgard® </t>
  </si>
  <si>
    <t>Tarvecta</t>
  </si>
  <si>
    <t>H</t>
  </si>
  <si>
    <t>Acclaim Accelerate</t>
  </si>
  <si>
    <t>0.5 gal</t>
  </si>
  <si>
    <t>150 gal*</t>
  </si>
  <si>
    <t>N</t>
  </si>
  <si>
    <t>Acclaim Extra</t>
  </si>
  <si>
    <t>ST</t>
  </si>
  <si>
    <t xml:space="preserve">Blindside® Herbicide </t>
  </si>
  <si>
    <t>0.5 lb</t>
  </si>
  <si>
    <t>48+</t>
  </si>
  <si>
    <t>LL/SLP/NOW</t>
  </si>
  <si>
    <t>96+</t>
  </si>
  <si>
    <t>86773201</t>
  </si>
  <si>
    <t>Dismiss® CA Herbicide</t>
  </si>
  <si>
    <t>GLO</t>
  </si>
  <si>
    <t>Dismiss® NXT Herbicide</t>
  </si>
  <si>
    <t>60 oz</t>
  </si>
  <si>
    <t>LL/SLP/EOP</t>
  </si>
  <si>
    <t>Dismiss® South Herbicide</t>
  </si>
  <si>
    <t xml:space="preserve">1 pint </t>
  </si>
  <si>
    <t>Dismiss® Turf Herbicide</t>
  </si>
  <si>
    <t>Echelon® 4SC Herbicide</t>
  </si>
  <si>
    <t>O</t>
  </si>
  <si>
    <t>ORN</t>
  </si>
  <si>
    <t>86729148</t>
  </si>
  <si>
    <t>Marengo FLO</t>
  </si>
  <si>
    <t>1-3</t>
  </si>
  <si>
    <t>4-15</t>
  </si>
  <si>
    <t>84922757</t>
  </si>
  <si>
    <t>Marengo G</t>
  </si>
  <si>
    <t>1-39</t>
  </si>
  <si>
    <t>40-119</t>
  </si>
  <si>
    <t>120+</t>
  </si>
  <si>
    <t>Prograss EC</t>
  </si>
  <si>
    <t>04249932</t>
  </si>
  <si>
    <t>Proxy</t>
  </si>
  <si>
    <t xml:space="preserve">QuickSilver® Herbicide </t>
  </si>
  <si>
    <t>8 oz</t>
  </si>
  <si>
    <t>32 fl oz</t>
  </si>
  <si>
    <t xml:space="preserve">Ronstar® FLO </t>
  </si>
  <si>
    <t>1-11</t>
  </si>
  <si>
    <t>12+</t>
  </si>
  <si>
    <t>40+</t>
  </si>
  <si>
    <t>Sencor 75</t>
  </si>
  <si>
    <t>5 lb</t>
  </si>
  <si>
    <t xml:space="preserve">Solitare® Herbicide </t>
  </si>
  <si>
    <t>4 lb</t>
  </si>
  <si>
    <t xml:space="preserve">1 lb </t>
  </si>
  <si>
    <t xml:space="preserve">0.75 gal </t>
  </si>
  <si>
    <t>86775387</t>
  </si>
  <si>
    <t xml:space="preserve">Specticle® FLO </t>
  </si>
  <si>
    <t>1-6</t>
  </si>
  <si>
    <t>7-13</t>
  </si>
  <si>
    <t>14-25</t>
  </si>
  <si>
    <t>26+</t>
  </si>
  <si>
    <t>52-99</t>
  </si>
  <si>
    <t>100+</t>
  </si>
  <si>
    <t>84056146</t>
  </si>
  <si>
    <t>20+</t>
  </si>
  <si>
    <t>200+</t>
  </si>
  <si>
    <t>NT</t>
  </si>
  <si>
    <t>Terradex C&amp;B</t>
  </si>
  <si>
    <t xml:space="preserve">1 gal </t>
  </si>
  <si>
    <t>Terradex Power Premix</t>
  </si>
  <si>
    <t>30 gal</t>
  </si>
  <si>
    <t>Terradex Quick Strike</t>
  </si>
  <si>
    <t>Xonerate® 2SC Herbicide</t>
  </si>
  <si>
    <t>I</t>
  </si>
  <si>
    <t>84989509</t>
  </si>
  <si>
    <t>Altus®</t>
  </si>
  <si>
    <t xml:space="preserve">Aria® Insecticide  </t>
  </si>
  <si>
    <t>160 g</t>
  </si>
  <si>
    <t>Chipco Choice</t>
  </si>
  <si>
    <t>Durentis 0.058% On-Fertilizer</t>
  </si>
  <si>
    <t>Durentis 0.067% On-Fertilizer</t>
  </si>
  <si>
    <t xml:space="preserve">Durentis™ Insecticide  </t>
  </si>
  <si>
    <t>4-8</t>
  </si>
  <si>
    <t>9-15</t>
  </si>
  <si>
    <t>86248913</t>
  </si>
  <si>
    <t>Dylox SL420</t>
  </si>
  <si>
    <t>Floramite</t>
  </si>
  <si>
    <t>1 qt</t>
  </si>
  <si>
    <t>Forbid</t>
  </si>
  <si>
    <t xml:space="preserve">8 oz </t>
  </si>
  <si>
    <t>Kontos</t>
  </si>
  <si>
    <t>250 ml</t>
  </si>
  <si>
    <t>02406377</t>
  </si>
  <si>
    <t>Merit 2F</t>
  </si>
  <si>
    <t>84907898</t>
  </si>
  <si>
    <t>Savate</t>
  </si>
  <si>
    <t>12-29</t>
  </si>
  <si>
    <t>30+</t>
  </si>
  <si>
    <t>Scion</t>
  </si>
  <si>
    <t>32 oz</t>
  </si>
  <si>
    <t>Shuttle</t>
  </si>
  <si>
    <t xml:space="preserve">Talstar® Select Insecticide (RUP) </t>
  </si>
  <si>
    <t>Tetrino®</t>
  </si>
  <si>
    <t> 1 gal</t>
  </si>
  <si>
    <t>79982844</t>
  </si>
  <si>
    <t>TopChoice</t>
  </si>
  <si>
    <t>Triple Crown® Golf Insecticide (RUP)</t>
  </si>
  <si>
    <t xml:space="preserve">Triple Crown® T&amp;O Insecticide </t>
  </si>
  <si>
    <t>PGR</t>
  </si>
  <si>
    <t>B-Nine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</si>
</sst>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8" formatCode="&quot;$&quot;#,##0.00_);[Red]\(&quot;$&quot;#,##0.00\)"/>
    <numFmt numFmtId="44" formatCode="_(&quot;$&quot;* #,##0.00_);_(&quot;$&quot;* \(#,##0.00\);_(&quot;$&quot;* &quot;-&quot;??_);_(@_)"/>
    <numFmt numFmtId="164" formatCode="0.00######"/>
    <numFmt numFmtId="165" formatCode="\$\ #,##0.00"/>
    <numFmt numFmtId="166" formatCode="&quot;$&quot;#,##0.00"/>
    <numFmt numFmtId="167" formatCode="0.0%"/>
    <numFmt numFmtId="168" formatCode="0.000"/>
    <numFmt numFmtId="169" formatCode="#,##0.0000"/>
  </numFmts>
  <fonts count="38">
    <font>
      <sz val="11"/>
      <color rgb="FF000000"/>
      <name val="Calibri"/>
      <family val="2"/>
    </font>
    <font>
      <sz val="11"/>
      <color theme="1"/>
      <name val="Calibri"/>
      <family val="2"/>
      <scheme val="minor"/>
    </font>
    <font>
      <sz val="11"/>
      <color theme="1"/>
      <name val="Calibri"/>
      <family val="2"/>
      <scheme val="minor"/>
    </font>
    <font>
      <sz val="10"/>
      <color rgb="FF000000"/>
      <name val="Calibri"/>
      <family val="2"/>
    </font>
    <font>
      <b/>
      <sz val="16"/>
      <color rgb="FF000000"/>
      <name val="Calibri"/>
      <family val="2"/>
    </font>
    <font>
      <b/>
      <sz val="9"/>
      <color rgb="FF000000"/>
      <name val="Calibri"/>
      <family val="2"/>
    </font>
    <font>
      <b/>
      <sz val="10"/>
      <color rgb="FF000000"/>
      <name val="Calibri"/>
      <family val="2"/>
    </font>
    <font>
      <sz val="16"/>
      <color rgb="FF000000"/>
      <name val="Calibri"/>
      <family val="2"/>
    </font>
    <font>
      <sz val="11"/>
      <color rgb="FF000000"/>
      <name val="Calibri"/>
      <family val="2"/>
    </font>
    <font>
      <sz val="10"/>
      <color theme="1"/>
      <name val="Calibri"/>
      <family val="2"/>
    </font>
    <font>
      <sz val="12"/>
      <color rgb="FF000000"/>
      <name val="Calibri"/>
      <family val="2"/>
    </font>
    <font>
      <sz val="9"/>
      <color rgb="FF000000"/>
      <name val="Calibri"/>
      <family val="2"/>
    </font>
    <font>
      <sz val="10"/>
      <color theme="0"/>
      <name val="Calibri"/>
      <family val="2"/>
    </font>
    <font>
      <sz val="8"/>
      <color rgb="FF000000"/>
      <name val="Calibri"/>
      <family val="2"/>
    </font>
    <font>
      <b/>
      <sz val="14"/>
      <color theme="0"/>
      <name val="Arial"/>
      <family val="2"/>
    </font>
    <font>
      <b/>
      <sz val="11"/>
      <color rgb="FF000000"/>
      <name val="Calibri"/>
      <family val="2"/>
    </font>
    <font>
      <sz val="11"/>
      <color rgb="FF7030A0"/>
      <name val="Calibri"/>
      <family val="2"/>
    </font>
    <font>
      <b/>
      <vertAlign val="superscript"/>
      <sz val="9"/>
      <color rgb="FF000000"/>
      <name val="Calibri"/>
      <family val="2"/>
    </font>
    <font>
      <sz val="11"/>
      <color theme="1"/>
      <name val="Calibri"/>
      <family val="2"/>
    </font>
    <font>
      <sz val="11"/>
      <color theme="0"/>
      <name val="Calibri"/>
      <family val="2"/>
    </font>
    <font>
      <sz val="11"/>
      <color rgb="FF000000"/>
      <name val="Aptos Narrow"/>
      <family val="2"/>
    </font>
    <font>
      <sz val="11"/>
      <color rgb="FF000000"/>
      <name val="Calibri"/>
      <family val="2"/>
      <scheme val="minor"/>
    </font>
    <font>
      <sz val="11"/>
      <name val="Calibri"/>
      <family val="2"/>
      <scheme val="minor"/>
    </font>
    <font>
      <b/>
      <sz val="10"/>
      <color rgb="FFC00000"/>
      <name val="Calibri"/>
      <family val="2"/>
    </font>
    <font>
      <b/>
      <i/>
      <sz val="8"/>
      <color rgb="FF000000"/>
      <name val="Calibri"/>
      <family val="2"/>
    </font>
    <font>
      <i/>
      <sz val="10"/>
      <color rgb="FF000000"/>
      <name val="Calibri"/>
      <family val="2"/>
    </font>
    <font>
      <sz val="9"/>
      <color theme="2" tint="-0.499984740745262"/>
      <name val="Calibri"/>
      <family val="2"/>
    </font>
    <font>
      <sz val="10"/>
      <color rgb="FFF5EBFF"/>
      <name val="Calibri"/>
      <family val="2"/>
    </font>
    <font>
      <sz val="10"/>
      <name val="Calibri"/>
      <family val="2"/>
    </font>
    <font>
      <sz val="8"/>
      <color rgb="FF000000"/>
      <name val="Aptos Narrow"/>
      <family val="2"/>
    </font>
    <font>
      <sz val="8"/>
      <name val="Calibri"/>
      <family val="2"/>
    </font>
    <font>
      <b/>
      <sz val="9"/>
      <color indexed="81"/>
      <name val="Tahoma"/>
      <family val="2"/>
    </font>
    <font>
      <b/>
      <sz val="11"/>
      <name val="Calibri"/>
      <family val="2"/>
    </font>
    <font>
      <b/>
      <u/>
      <sz val="10"/>
      <name val="Calibri"/>
      <family val="2"/>
    </font>
    <font>
      <b/>
      <sz val="10"/>
      <name val="Calibri"/>
      <family val="2"/>
    </font>
    <font>
      <b/>
      <i/>
      <sz val="10"/>
      <name val="Calibri"/>
      <family val="2"/>
    </font>
    <font>
      <b/>
      <sz val="14"/>
      <color theme="0"/>
      <name val="Calibri"/>
      <family val="2"/>
    </font>
    <font>
      <b/>
      <sz val="18"/>
      <color theme="0"/>
      <name val="Calibri"/>
      <family val="2"/>
    </font>
  </fonts>
  <fills count="19">
    <fill>
      <patternFill patternType="none"/>
    </fill>
    <fill>
      <patternFill patternType="gray125"/>
    </fill>
    <fill>
      <patternFill patternType="solid">
        <fgColor rgb="FFFFFFCC"/>
      </patternFill>
    </fill>
    <fill>
      <patternFill patternType="solid">
        <fgColor rgb="FFFFFFFF"/>
      </patternFill>
    </fill>
    <fill>
      <patternFill patternType="solid">
        <fgColor rgb="FFFAFAFA"/>
      </patternFill>
    </fill>
    <fill>
      <patternFill patternType="solid">
        <fgColor rgb="FFDEE2E6"/>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5EBFF"/>
        <bgColor indexed="64"/>
      </patternFill>
    </fill>
    <fill>
      <patternFill patternType="solid">
        <fgColor theme="0" tint="-4.9989318521683403E-2"/>
        <bgColor indexed="64"/>
      </patternFill>
    </fill>
    <fill>
      <patternFill patternType="solid">
        <fgColor theme="1"/>
        <bgColor indexed="64"/>
      </patternFill>
    </fill>
    <fill>
      <patternFill patternType="solid">
        <fgColor rgb="FFF9F3FF"/>
        <bgColor indexed="64"/>
      </patternFill>
    </fill>
    <fill>
      <patternFill patternType="solid">
        <fgColor rgb="FF7E58AE"/>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0.749992370372631"/>
        <bgColor indexed="64"/>
      </patternFill>
    </fill>
    <fill>
      <patternFill patternType="solid">
        <fgColor theme="1" tint="0.14999847407452621"/>
        <bgColor indexed="64"/>
      </patternFill>
    </fill>
    <fill>
      <patternFill patternType="solid">
        <fgColor rgb="FF7030A0"/>
        <bgColor indexed="64"/>
      </patternFill>
    </fill>
  </fills>
  <borders count="101">
    <border>
      <left/>
      <right/>
      <top/>
      <bottom/>
      <diagonal/>
    </border>
    <border>
      <left style="thin">
        <color rgb="FF777777"/>
      </left>
      <right style="thin">
        <color rgb="FF777777"/>
      </right>
      <top style="thin">
        <color rgb="FF777777"/>
      </top>
      <bottom style="thin">
        <color rgb="FF777777"/>
      </bottom>
      <diagonal/>
    </border>
    <border>
      <left/>
      <right/>
      <top/>
      <bottom style="thick">
        <color rgb="FF66B51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77777"/>
      </left>
      <right style="thin">
        <color rgb="FF777777"/>
      </right>
      <top style="thin">
        <color rgb="FF777777"/>
      </top>
      <bottom/>
      <diagonal/>
    </border>
    <border>
      <left/>
      <right/>
      <top style="thick">
        <color rgb="FF66B51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4"/>
      </bottom>
      <diagonal/>
    </border>
    <border>
      <left/>
      <right/>
      <top style="medium">
        <color theme="4"/>
      </top>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top style="thin">
        <color indexed="64"/>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777777"/>
      </left>
      <right style="thin">
        <color rgb="FF777777"/>
      </right>
      <top style="thin">
        <color indexed="64"/>
      </top>
      <bottom style="thin">
        <color rgb="FF777777"/>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bottom style="thin">
        <color indexed="64"/>
      </bottom>
      <diagonal/>
    </border>
    <border>
      <left style="thin">
        <color rgb="FF777777"/>
      </left>
      <right style="thin">
        <color rgb="FF777777"/>
      </right>
      <top style="thin">
        <color rgb="FF777777"/>
      </top>
      <bottom style="thick">
        <color indexed="64"/>
      </bottom>
      <diagonal/>
    </border>
    <border>
      <left/>
      <right style="thin">
        <color auto="1"/>
      </right>
      <top style="thick">
        <color indexed="64"/>
      </top>
      <bottom style="thin">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ck">
        <color indexed="64"/>
      </right>
      <top style="thin">
        <color auto="1"/>
      </top>
      <bottom/>
      <diagonal/>
    </border>
    <border>
      <left style="thin">
        <color auto="1"/>
      </left>
      <right style="thin">
        <color auto="1"/>
      </right>
      <top style="thick">
        <color indexed="64"/>
      </top>
      <bottom/>
      <diagonal/>
    </border>
    <border>
      <left style="thin">
        <color indexed="64"/>
      </left>
      <right style="thin">
        <color indexed="64"/>
      </right>
      <top/>
      <bottom/>
      <diagonal/>
    </border>
    <border>
      <left style="thin">
        <color auto="1"/>
      </left>
      <right style="thin">
        <color auto="1"/>
      </right>
      <top/>
      <bottom style="thick">
        <color indexed="64"/>
      </bottom>
      <diagonal/>
    </border>
    <border>
      <left style="thin">
        <color indexed="64"/>
      </left>
      <right style="thick">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auto="1"/>
      </right>
      <top style="thick">
        <color indexed="64"/>
      </top>
      <bottom/>
      <diagonal/>
    </border>
    <border>
      <left style="thick">
        <color indexed="64"/>
      </left>
      <right style="thin">
        <color auto="1"/>
      </right>
      <top/>
      <bottom/>
      <diagonal/>
    </border>
    <border>
      <left style="thick">
        <color indexed="64"/>
      </left>
      <right style="thin">
        <color auto="1"/>
      </right>
      <top/>
      <bottom style="thick">
        <color indexed="64"/>
      </bottom>
      <diagonal/>
    </border>
    <border>
      <left style="thin">
        <color auto="1"/>
      </left>
      <right/>
      <top style="thick">
        <color indexed="64"/>
      </top>
      <bottom style="thin">
        <color auto="1"/>
      </bottom>
      <diagonal/>
    </border>
    <border>
      <left/>
      <right style="thick">
        <color indexed="64"/>
      </right>
      <top style="thick">
        <color indexed="64"/>
      </top>
      <bottom style="thin">
        <color auto="1"/>
      </bottom>
      <diagonal/>
    </border>
    <border>
      <left/>
      <right style="thick">
        <color indexed="64"/>
      </right>
      <top style="thin">
        <color indexed="64"/>
      </top>
      <bottom style="thin">
        <color auto="1"/>
      </bottom>
      <diagonal/>
    </border>
    <border>
      <left style="thick">
        <color indexed="64"/>
      </left>
      <right/>
      <top/>
      <bottom style="thin">
        <color indexed="64"/>
      </bottom>
      <diagonal/>
    </border>
    <border>
      <left/>
      <right/>
      <top/>
      <bottom style="thin">
        <color indexed="64"/>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style="thin">
        <color auto="1"/>
      </bottom>
      <diagonal/>
    </border>
    <border>
      <left style="thick">
        <color indexed="64"/>
      </left>
      <right style="thick">
        <color indexed="64"/>
      </right>
      <top style="thin">
        <color auto="1"/>
      </top>
      <bottom style="thick">
        <color indexed="64"/>
      </bottom>
      <diagonal/>
    </border>
    <border>
      <left style="thick">
        <color indexed="64"/>
      </left>
      <right/>
      <top style="thin">
        <color indexed="64"/>
      </top>
      <bottom style="medium">
        <color indexed="64"/>
      </bottom>
      <diagonal/>
    </border>
    <border>
      <left/>
      <right style="thin">
        <color indexed="64"/>
      </right>
      <top/>
      <bottom/>
      <diagonal/>
    </border>
    <border>
      <left style="medium">
        <color indexed="64"/>
      </left>
      <right style="thin">
        <color rgb="FF777777"/>
      </right>
      <top style="medium">
        <color indexed="64"/>
      </top>
      <bottom style="thin">
        <color rgb="FF777777"/>
      </bottom>
      <diagonal/>
    </border>
    <border>
      <left style="thin">
        <color rgb="FF777777"/>
      </left>
      <right style="thin">
        <color rgb="FF777777"/>
      </right>
      <top style="medium">
        <color indexed="64"/>
      </top>
      <bottom style="thin">
        <color rgb="FF777777"/>
      </bottom>
      <diagonal/>
    </border>
    <border>
      <left style="thin">
        <color rgb="FF777777"/>
      </left>
      <right style="medium">
        <color indexed="64"/>
      </right>
      <top style="medium">
        <color indexed="64"/>
      </top>
      <bottom style="thin">
        <color rgb="FF777777"/>
      </bottom>
      <diagonal/>
    </border>
    <border>
      <left style="medium">
        <color indexed="64"/>
      </left>
      <right style="thin">
        <color rgb="FF777777"/>
      </right>
      <top style="thin">
        <color rgb="FF777777"/>
      </top>
      <bottom style="thin">
        <color rgb="FF777777"/>
      </bottom>
      <diagonal/>
    </border>
    <border>
      <left style="thin">
        <color rgb="FF777777"/>
      </left>
      <right style="medium">
        <color indexed="64"/>
      </right>
      <top style="thin">
        <color rgb="FF777777"/>
      </top>
      <bottom style="thin">
        <color rgb="FF777777"/>
      </bottom>
      <diagonal/>
    </border>
    <border>
      <left style="medium">
        <color indexed="64"/>
      </left>
      <right style="thin">
        <color rgb="FF777777"/>
      </right>
      <top style="thin">
        <color rgb="FF777777"/>
      </top>
      <bottom style="thick">
        <color indexed="64"/>
      </bottom>
      <diagonal/>
    </border>
    <border>
      <left style="thin">
        <color rgb="FF777777"/>
      </left>
      <right style="medium">
        <color indexed="64"/>
      </right>
      <top style="thin">
        <color rgb="FF777777"/>
      </top>
      <bottom style="thick">
        <color indexed="64"/>
      </bottom>
      <diagonal/>
    </border>
    <border>
      <left style="thin">
        <color auto="1"/>
      </left>
      <right/>
      <top/>
      <bottom style="thin">
        <color auto="1"/>
      </bottom>
      <diagonal/>
    </border>
    <border>
      <left/>
      <right style="thick">
        <color indexed="64"/>
      </right>
      <top/>
      <bottom style="thin">
        <color auto="1"/>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777777"/>
      </right>
      <top style="thin">
        <color rgb="FF777777"/>
      </top>
      <bottom style="medium">
        <color indexed="64"/>
      </bottom>
      <diagonal/>
    </border>
    <border>
      <left style="thin">
        <color rgb="FF777777"/>
      </left>
      <right style="thin">
        <color rgb="FF777777"/>
      </right>
      <top style="thin">
        <color rgb="FF777777"/>
      </top>
      <bottom style="medium">
        <color indexed="64"/>
      </bottom>
      <diagonal/>
    </border>
    <border>
      <left style="thin">
        <color rgb="FF777777"/>
      </left>
      <right style="medium">
        <color indexed="64"/>
      </right>
      <top style="thin">
        <color rgb="FF777777"/>
      </top>
      <bottom style="medium">
        <color indexed="64"/>
      </bottom>
      <diagonal/>
    </border>
    <border>
      <left style="thick">
        <color indexed="64"/>
      </left>
      <right style="thick">
        <color indexed="64"/>
      </right>
      <top style="thin">
        <color indexed="64"/>
      </top>
      <bottom/>
      <diagonal/>
    </border>
    <border>
      <left/>
      <right style="thick">
        <color indexed="64"/>
      </right>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top/>
      <bottom style="thick">
        <color indexed="64"/>
      </bottom>
      <diagonal/>
    </border>
    <border>
      <left style="thick">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medium">
        <color indexed="64"/>
      </top>
      <bottom style="thick">
        <color indexed="64"/>
      </bottom>
      <diagonal/>
    </border>
  </borders>
  <cellStyleXfs count="8">
    <xf numFmtId="0" fontId="0" fillId="0" borderId="0" applyBorder="0"/>
    <xf numFmtId="9" fontId="8"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4" fontId="8" fillId="0" borderId="0" applyFont="0" applyFill="0" applyBorder="0" applyAlignment="0" applyProtection="0"/>
    <xf numFmtId="0" fontId="18" fillId="0" borderId="0"/>
    <xf numFmtId="44" fontId="18" fillId="0" borderId="0" applyFont="0" applyFill="0" applyBorder="0" applyAlignment="0" applyProtection="0"/>
  </cellStyleXfs>
  <cellXfs count="390">
    <xf numFmtId="0" fontId="0" fillId="0" borderId="0" xfId="0"/>
    <xf numFmtId="0" fontId="0" fillId="0" borderId="0" xfId="0" applyAlignment="1">
      <alignment horizontal="center"/>
    </xf>
    <xf numFmtId="0" fontId="3" fillId="12" borderId="18" xfId="0" applyFont="1" applyFill="1" applyBorder="1" applyAlignment="1" applyProtection="1">
      <alignment vertical="center" wrapText="1"/>
      <protection locked="0"/>
    </xf>
    <xf numFmtId="0" fontId="3" fillId="12" borderId="19" xfId="0" applyFont="1" applyFill="1" applyBorder="1" applyAlignment="1" applyProtection="1">
      <alignment vertical="center" wrapText="1"/>
      <protection locked="0"/>
    </xf>
    <xf numFmtId="0" fontId="3" fillId="12" borderId="20" xfId="0" applyFont="1" applyFill="1" applyBorder="1" applyAlignment="1" applyProtection="1">
      <alignment vertical="center" wrapText="1"/>
      <protection locked="0"/>
    </xf>
    <xf numFmtId="14" fontId="3" fillId="12" borderId="8" xfId="0" applyNumberFormat="1" applyFont="1" applyFill="1" applyBorder="1" applyAlignment="1" applyProtection="1">
      <alignment vertical="center" wrapText="1"/>
      <protection locked="0"/>
    </xf>
    <xf numFmtId="0" fontId="3" fillId="12" borderId="8" xfId="0" applyFont="1" applyFill="1" applyBorder="1" applyAlignment="1" applyProtection="1">
      <alignment vertical="center" wrapText="1"/>
      <protection locked="0"/>
    </xf>
    <xf numFmtId="0" fontId="18" fillId="0" borderId="0" xfId="6"/>
    <xf numFmtId="0" fontId="18" fillId="6" borderId="0" xfId="6" applyFill="1"/>
    <xf numFmtId="0" fontId="1" fillId="0" borderId="0" xfId="6" applyFont="1" applyAlignment="1">
      <alignment horizontal="left"/>
    </xf>
    <xf numFmtId="0" fontId="18" fillId="0" borderId="0" xfId="6" applyAlignment="1">
      <alignment horizontal="center"/>
    </xf>
    <xf numFmtId="44" fontId="0" fillId="0" borderId="0" xfId="7" applyFont="1"/>
    <xf numFmtId="0" fontId="20" fillId="0" borderId="0" xfId="6" applyFont="1"/>
    <xf numFmtId="0" fontId="20" fillId="6" borderId="0" xfId="6" applyFont="1" applyFill="1"/>
    <xf numFmtId="0" fontId="21" fillId="0" borderId="0" xfId="6" applyFont="1" applyAlignment="1">
      <alignment horizontal="left" vertical="center" wrapText="1"/>
    </xf>
    <xf numFmtId="44" fontId="0" fillId="0" borderId="0" xfId="7" applyFont="1" applyFill="1"/>
    <xf numFmtId="0" fontId="21" fillId="0" borderId="0" xfId="6" applyFont="1" applyAlignment="1">
      <alignment horizontal="left"/>
    </xf>
    <xf numFmtId="0" fontId="18" fillId="6" borderId="0" xfId="6" applyFill="1" applyAlignment="1">
      <alignment horizontal="center" vertical="top"/>
    </xf>
    <xf numFmtId="0" fontId="21" fillId="0" borderId="0" xfId="6" applyFont="1" applyAlignment="1">
      <alignment horizontal="left" vertical="center"/>
    </xf>
    <xf numFmtId="0" fontId="18" fillId="0" borderId="0" xfId="6" quotePrefix="1" applyAlignment="1">
      <alignment horizontal="center"/>
    </xf>
    <xf numFmtId="49" fontId="18" fillId="6" borderId="0" xfId="6" quotePrefix="1" applyNumberFormat="1" applyFill="1" applyAlignment="1">
      <alignment horizontal="center"/>
    </xf>
    <xf numFmtId="8" fontId="18" fillId="0" borderId="0" xfId="6" applyNumberFormat="1"/>
    <xf numFmtId="44" fontId="18" fillId="0" borderId="0" xfId="6" applyNumberFormat="1"/>
    <xf numFmtId="49" fontId="18" fillId="6" borderId="0" xfId="6" applyNumberFormat="1" applyFill="1" applyAlignment="1">
      <alignment horizontal="center"/>
    </xf>
    <xf numFmtId="44" fontId="0" fillId="6" borderId="0" xfId="7" applyFont="1" applyFill="1"/>
    <xf numFmtId="0" fontId="18" fillId="6" borderId="0" xfId="6" applyFill="1" applyAlignment="1">
      <alignment horizontal="center"/>
    </xf>
    <xf numFmtId="0" fontId="21" fillId="6" borderId="0" xfId="6" applyFont="1" applyFill="1" applyAlignment="1">
      <alignment horizontal="center" vertical="center"/>
    </xf>
    <xf numFmtId="8" fontId="20" fillId="0" borderId="0" xfId="6" applyNumberFormat="1" applyFont="1"/>
    <xf numFmtId="0" fontId="20" fillId="6" borderId="0" xfId="6" applyFont="1" applyFill="1" applyAlignment="1">
      <alignment horizontal="center"/>
    </xf>
    <xf numFmtId="0" fontId="22" fillId="6" borderId="0" xfId="6" applyFont="1" applyFill="1" applyAlignment="1">
      <alignment horizontal="center" vertical="top"/>
    </xf>
    <xf numFmtId="0" fontId="0" fillId="0" borderId="0" xfId="0" applyAlignment="1">
      <alignment horizontal="left"/>
    </xf>
    <xf numFmtId="0" fontId="15" fillId="0" borderId="0" xfId="0" applyFont="1"/>
    <xf numFmtId="0" fontId="0" fillId="0" borderId="0" xfId="0" applyBorder="1" applyAlignment="1">
      <alignment horizontal="left"/>
    </xf>
    <xf numFmtId="0" fontId="0" fillId="0" borderId="0" xfId="0" applyBorder="1"/>
    <xf numFmtId="0" fontId="0" fillId="14" borderId="0" xfId="0" applyFill="1" applyBorder="1" applyAlignment="1">
      <alignment horizontal="center"/>
    </xf>
    <xf numFmtId="0" fontId="0" fillId="14" borderId="22" xfId="0" applyFill="1" applyBorder="1" applyAlignment="1">
      <alignment horizontal="center"/>
    </xf>
    <xf numFmtId="0" fontId="0" fillId="14" borderId="23" xfId="0" applyFill="1" applyBorder="1" applyAlignment="1">
      <alignment horizontal="center"/>
    </xf>
    <xf numFmtId="0" fontId="0" fillId="14" borderId="24" xfId="0" applyFill="1" applyBorder="1" applyAlignment="1">
      <alignment horizontal="center"/>
    </xf>
    <xf numFmtId="0" fontId="0" fillId="14" borderId="25" xfId="0" applyFill="1" applyBorder="1" applyAlignment="1">
      <alignment horizontal="center"/>
    </xf>
    <xf numFmtId="0" fontId="0" fillId="14" borderId="26" xfId="0" applyFill="1"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2" xfId="0" applyBorder="1" applyAlignment="1">
      <alignment horizontal="left"/>
    </xf>
    <xf numFmtId="0" fontId="0" fillId="0" borderId="23" xfId="0" applyBorder="1"/>
    <xf numFmtId="0" fontId="0" fillId="0" borderId="24" xfId="0" applyBorder="1" applyAlignment="1">
      <alignment horizontal="center"/>
    </xf>
    <xf numFmtId="0" fontId="0" fillId="0" borderId="25" xfId="0" applyBorder="1" applyAlignment="1">
      <alignment horizontal="left"/>
    </xf>
    <xf numFmtId="0" fontId="0" fillId="0" borderId="26" xfId="0" applyBorder="1" applyAlignment="1">
      <alignment horizontal="center"/>
    </xf>
    <xf numFmtId="0" fontId="0" fillId="0" borderId="33" xfId="0" applyBorder="1" applyAlignment="1">
      <alignment horizontal="left"/>
    </xf>
    <xf numFmtId="0" fontId="0" fillId="0" borderId="34" xfId="0" applyBorder="1"/>
    <xf numFmtId="0" fontId="0" fillId="0" borderId="35" xfId="0" applyBorder="1"/>
    <xf numFmtId="44" fontId="0" fillId="15" borderId="22" xfId="5" applyFont="1" applyFill="1" applyBorder="1"/>
    <xf numFmtId="44" fontId="0" fillId="15" borderId="23" xfId="5" applyFont="1" applyFill="1" applyBorder="1"/>
    <xf numFmtId="44" fontId="0" fillId="15" borderId="24" xfId="5" applyFont="1" applyFill="1" applyBorder="1"/>
    <xf numFmtId="44" fontId="0" fillId="15" borderId="25" xfId="5" applyFont="1" applyFill="1" applyBorder="1"/>
    <xf numFmtId="44" fontId="0" fillId="15" borderId="0" xfId="5" applyFont="1" applyFill="1" applyBorder="1"/>
    <xf numFmtId="44" fontId="0" fillId="15" borderId="26" xfId="5" applyFont="1" applyFill="1" applyBorder="1"/>
    <xf numFmtId="0" fontId="0" fillId="0" borderId="34" xfId="0" applyBorder="1" applyAlignment="1">
      <alignment horizontal="left"/>
    </xf>
    <xf numFmtId="0" fontId="0" fillId="0" borderId="23" xfId="0" applyBorder="1" applyAlignment="1">
      <alignment horizontal="left"/>
    </xf>
    <xf numFmtId="0" fontId="19" fillId="16" borderId="0" xfId="0" applyFont="1" applyFill="1"/>
    <xf numFmtId="1" fontId="3" fillId="9" borderId="8" xfId="0" applyNumberFormat="1" applyFont="1" applyFill="1" applyBorder="1" applyAlignment="1" applyProtection="1">
      <alignment horizontal="center" vertical="center"/>
      <protection locked="0"/>
    </xf>
    <xf numFmtId="165" fontId="3" fillId="4" borderId="17" xfId="0" applyNumberFormat="1" applyFont="1" applyFill="1" applyBorder="1" applyAlignment="1" applyProtection="1">
      <alignment horizontal="center" vertical="center"/>
      <protection hidden="1"/>
    </xf>
    <xf numFmtId="3" fontId="3" fillId="4" borderId="17" xfId="0" applyNumberFormat="1" applyFont="1" applyFill="1" applyBorder="1" applyAlignment="1" applyProtection="1">
      <alignment horizontal="center" vertical="center"/>
      <protection hidden="1"/>
    </xf>
    <xf numFmtId="0" fontId="3" fillId="4" borderId="16"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15"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165" fontId="3" fillId="8" borderId="30" xfId="0" applyNumberFormat="1" applyFont="1" applyFill="1" applyBorder="1" applyAlignment="1" applyProtection="1">
      <alignment horizontal="center" vertical="center"/>
      <protection hidden="1"/>
    </xf>
    <xf numFmtId="165" fontId="3" fillId="3" borderId="30" xfId="0" applyNumberFormat="1" applyFont="1" applyFill="1" applyBorder="1" applyAlignment="1" applyProtection="1">
      <alignment horizontal="center" vertical="center"/>
      <protection hidden="1"/>
    </xf>
    <xf numFmtId="0" fontId="3" fillId="7" borderId="0" xfId="0" applyFont="1" applyFill="1" applyProtection="1">
      <protection hidden="1"/>
    </xf>
    <xf numFmtId="1" fontId="3" fillId="7" borderId="0" xfId="0" applyNumberFormat="1" applyFont="1" applyFill="1" applyProtection="1">
      <protection hidden="1"/>
    </xf>
    <xf numFmtId="0" fontId="0" fillId="7" borderId="0" xfId="0" applyFill="1" applyProtection="1">
      <protection hidden="1"/>
    </xf>
    <xf numFmtId="0" fontId="0" fillId="0" borderId="0" xfId="0" applyProtection="1">
      <protection hidden="1"/>
    </xf>
    <xf numFmtId="0" fontId="3" fillId="4" borderId="16" xfId="0" applyFont="1" applyFill="1" applyBorder="1" applyAlignment="1" applyProtection="1">
      <alignment vertical="center" wrapText="1"/>
      <protection hidden="1"/>
    </xf>
    <xf numFmtId="0" fontId="3" fillId="4" borderId="14" xfId="0" applyFont="1" applyFill="1" applyBorder="1" applyAlignment="1" applyProtection="1">
      <alignment vertical="center" wrapText="1"/>
      <protection hidden="1"/>
    </xf>
    <xf numFmtId="0" fontId="3" fillId="4" borderId="15" xfId="0" applyFont="1" applyFill="1" applyBorder="1" applyAlignment="1" applyProtection="1">
      <alignment vertical="center" wrapText="1"/>
      <protection hidden="1"/>
    </xf>
    <xf numFmtId="0" fontId="3" fillId="3" borderId="9" xfId="0" applyFont="1" applyFill="1" applyBorder="1" applyAlignment="1" applyProtection="1">
      <alignment vertical="center" wrapText="1"/>
      <protection hidden="1"/>
    </xf>
    <xf numFmtId="0" fontId="13" fillId="7" borderId="0" xfId="0" applyFont="1" applyFill="1" applyProtection="1">
      <protection hidden="1"/>
    </xf>
    <xf numFmtId="0" fontId="0" fillId="7" borderId="0" xfId="0" applyFill="1" applyAlignment="1" applyProtection="1">
      <alignment horizontal="center"/>
      <protection hidden="1"/>
    </xf>
    <xf numFmtId="0" fontId="3" fillId="4" borderId="1" xfId="0" applyFont="1" applyFill="1" applyBorder="1" applyAlignment="1" applyProtection="1">
      <alignment horizontal="left" vertical="center"/>
      <protection hidden="1"/>
    </xf>
    <xf numFmtId="3" fontId="3" fillId="7" borderId="1" xfId="0" applyNumberFormat="1" applyFont="1" applyFill="1" applyBorder="1" applyAlignment="1" applyProtection="1">
      <alignment horizontal="center" vertical="center"/>
      <protection hidden="1"/>
    </xf>
    <xf numFmtId="165" fontId="9" fillId="4" borderId="1" xfId="0" applyNumberFormat="1" applyFont="1" applyFill="1" applyBorder="1" applyProtection="1">
      <protection hidden="1"/>
    </xf>
    <xf numFmtId="165" fontId="3" fillId="4" borderId="1" xfId="0" applyNumberFormat="1" applyFont="1" applyFill="1" applyBorder="1" applyProtection="1">
      <protection hidden="1"/>
    </xf>
    <xf numFmtId="1" fontId="3" fillId="7" borderId="0" xfId="0" applyNumberFormat="1" applyFont="1" applyFill="1" applyBorder="1" applyAlignment="1" applyProtection="1">
      <alignment horizontal="center" vertical="center"/>
      <protection hidden="1"/>
    </xf>
    <xf numFmtId="165" fontId="9" fillId="4" borderId="0" xfId="0" applyNumberFormat="1" applyFont="1" applyFill="1" applyBorder="1" applyProtection="1">
      <protection hidden="1"/>
    </xf>
    <xf numFmtId="165" fontId="3" fillId="4" borderId="0" xfId="0" applyNumberFormat="1" applyFont="1" applyFill="1" applyBorder="1" applyProtection="1">
      <protection hidden="1"/>
    </xf>
    <xf numFmtId="1" fontId="3" fillId="9" borderId="42" xfId="0" applyNumberFormat="1" applyFont="1" applyFill="1" applyBorder="1" applyAlignment="1" applyProtection="1">
      <alignment horizontal="center" vertical="center"/>
      <protection locked="0"/>
    </xf>
    <xf numFmtId="2" fontId="3" fillId="10" borderId="8" xfId="0" applyNumberFormat="1" applyFont="1" applyFill="1" applyBorder="1" applyAlignment="1" applyProtection="1">
      <alignment horizontal="center" vertical="center"/>
      <protection hidden="1"/>
    </xf>
    <xf numFmtId="2" fontId="3" fillId="10" borderId="30" xfId="0" applyNumberFormat="1" applyFont="1" applyFill="1" applyBorder="1" applyAlignment="1" applyProtection="1">
      <alignment horizontal="center" vertical="center"/>
      <protection hidden="1"/>
    </xf>
    <xf numFmtId="2" fontId="3" fillId="10" borderId="42" xfId="0" applyNumberFormat="1" applyFont="1" applyFill="1" applyBorder="1" applyAlignment="1" applyProtection="1">
      <alignment horizontal="center" vertical="center"/>
      <protection hidden="1"/>
    </xf>
    <xf numFmtId="2" fontId="3" fillId="10" borderId="43" xfId="0" applyNumberFormat="1" applyFont="1" applyFill="1" applyBorder="1" applyAlignment="1" applyProtection="1">
      <alignment horizontal="center" vertical="center"/>
      <protection hidden="1"/>
    </xf>
    <xf numFmtId="2" fontId="3" fillId="9" borderId="8" xfId="0" applyNumberFormat="1" applyFont="1" applyFill="1" applyBorder="1" applyAlignment="1" applyProtection="1">
      <alignment horizontal="center" vertical="center"/>
      <protection locked="0"/>
    </xf>
    <xf numFmtId="2" fontId="3" fillId="9" borderId="42" xfId="0" applyNumberFormat="1" applyFont="1" applyFill="1" applyBorder="1" applyAlignment="1" applyProtection="1">
      <alignment horizontal="center" vertical="center"/>
      <protection locked="0"/>
    </xf>
    <xf numFmtId="165" fontId="12" fillId="17" borderId="55" xfId="0" applyNumberFormat="1" applyFont="1" applyFill="1" applyBorder="1" applyAlignment="1" applyProtection="1">
      <alignment horizontal="center" vertical="center"/>
      <protection hidden="1"/>
    </xf>
    <xf numFmtId="0" fontId="10" fillId="3" borderId="2" xfId="0" applyFont="1" applyFill="1" applyBorder="1" applyProtection="1">
      <protection hidden="1"/>
    </xf>
    <xf numFmtId="0" fontId="3" fillId="3" borderId="0" xfId="0" applyFont="1" applyFill="1" applyProtection="1">
      <protection hidden="1"/>
    </xf>
    <xf numFmtId="0" fontId="14" fillId="13" borderId="0" xfId="0" applyFont="1" applyFill="1" applyAlignment="1" applyProtection="1">
      <alignment horizontal="left" vertical="center" wrapText="1"/>
      <protection hidden="1"/>
    </xf>
    <xf numFmtId="165" fontId="3" fillId="13" borderId="0" xfId="0" applyNumberFormat="1" applyFont="1" applyFill="1" applyProtection="1">
      <protection hidden="1"/>
    </xf>
    <xf numFmtId="164" fontId="3" fillId="13" borderId="0" xfId="0" applyNumberFormat="1" applyFont="1" applyFill="1" applyProtection="1">
      <protection hidden="1"/>
    </xf>
    <xf numFmtId="2" fontId="3" fillId="13" borderId="0" xfId="0" applyNumberFormat="1" applyFont="1" applyFill="1" applyProtection="1">
      <protection hidden="1"/>
    </xf>
    <xf numFmtId="0" fontId="14" fillId="7" borderId="0" xfId="0" applyFont="1" applyFill="1" applyAlignment="1" applyProtection="1">
      <alignment horizontal="left" vertical="center" wrapText="1"/>
      <protection hidden="1"/>
    </xf>
    <xf numFmtId="165" fontId="3" fillId="7" borderId="0" xfId="0" applyNumberFormat="1" applyFont="1" applyFill="1" applyProtection="1">
      <protection hidden="1"/>
    </xf>
    <xf numFmtId="164" fontId="3" fillId="7" borderId="0" xfId="0" applyNumberFormat="1" applyFont="1" applyFill="1" applyProtection="1">
      <protection hidden="1"/>
    </xf>
    <xf numFmtId="2" fontId="3" fillId="7" borderId="0" xfId="0" applyNumberFormat="1" applyFont="1" applyFill="1" applyProtection="1">
      <protection hidden="1"/>
    </xf>
    <xf numFmtId="164" fontId="3" fillId="3" borderId="0" xfId="0" applyNumberFormat="1" applyFont="1" applyFill="1" applyProtection="1">
      <protection hidden="1"/>
    </xf>
    <xf numFmtId="165" fontId="3" fillId="3" borderId="0" xfId="0" applyNumberFormat="1" applyFont="1" applyFill="1" applyProtection="1">
      <protection hidden="1"/>
    </xf>
    <xf numFmtId="165" fontId="3" fillId="3" borderId="0" xfId="0" applyNumberFormat="1" applyFont="1" applyFill="1" applyBorder="1" applyProtection="1">
      <protection hidden="1"/>
    </xf>
    <xf numFmtId="165" fontId="27" fillId="9" borderId="0" xfId="0" applyNumberFormat="1" applyFont="1" applyFill="1" applyProtection="1">
      <protection hidden="1"/>
    </xf>
    <xf numFmtId="2" fontId="27" fillId="9" borderId="0" xfId="0" applyNumberFormat="1" applyFont="1" applyFill="1" applyProtection="1">
      <protection hidden="1"/>
    </xf>
    <xf numFmtId="0" fontId="3" fillId="3" borderId="0" xfId="0" applyFont="1" applyFill="1" applyBorder="1" applyProtection="1">
      <protection hidden="1"/>
    </xf>
    <xf numFmtId="0" fontId="23" fillId="3" borderId="0" xfId="0" applyFont="1" applyFill="1" applyAlignment="1" applyProtection="1">
      <alignment horizontal="center"/>
      <protection hidden="1"/>
    </xf>
    <xf numFmtId="164" fontId="12" fillId="11" borderId="0" xfId="0" applyNumberFormat="1" applyFont="1" applyFill="1" applyAlignment="1" applyProtection="1">
      <alignment horizontal="center"/>
      <protection hidden="1"/>
    </xf>
    <xf numFmtId="0" fontId="3" fillId="3" borderId="0" xfId="0" applyFont="1" applyFill="1" applyBorder="1" applyAlignment="1" applyProtection="1">
      <alignment horizontal="center" vertical="center"/>
      <protection hidden="1"/>
    </xf>
    <xf numFmtId="0" fontId="3" fillId="4" borderId="17" xfId="0" applyFont="1" applyFill="1" applyBorder="1" applyAlignment="1" applyProtection="1">
      <alignment horizontal="center" vertical="center"/>
      <protection hidden="1"/>
    </xf>
    <xf numFmtId="165" fontId="3" fillId="3" borderId="17" xfId="0" applyNumberFormat="1" applyFont="1" applyFill="1" applyBorder="1" applyAlignment="1" applyProtection="1">
      <alignment horizontal="center" vertical="center"/>
      <protection hidden="1"/>
    </xf>
    <xf numFmtId="166" fontId="3" fillId="4" borderId="17" xfId="0" applyNumberFormat="1" applyFont="1" applyFill="1" applyBorder="1" applyAlignment="1" applyProtection="1">
      <alignment horizontal="center" vertical="center"/>
      <protection hidden="1"/>
    </xf>
    <xf numFmtId="165" fontId="3" fillId="4" borderId="36" xfId="0" applyNumberFormat="1" applyFont="1" applyFill="1" applyBorder="1" applyAlignment="1" applyProtection="1">
      <alignment horizontal="center" vertical="center"/>
      <protection hidden="1"/>
    </xf>
    <xf numFmtId="0" fontId="3" fillId="4" borderId="1"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168" fontId="3" fillId="10" borderId="11" xfId="0" applyNumberFormat="1" applyFont="1" applyFill="1" applyBorder="1" applyAlignment="1" applyProtection="1">
      <alignment horizontal="center" vertical="center"/>
      <protection hidden="1"/>
    </xf>
    <xf numFmtId="0" fontId="3" fillId="3" borderId="0" xfId="0" applyFont="1" applyFill="1" applyAlignment="1" applyProtection="1">
      <alignment horizontal="right"/>
      <protection hidden="1"/>
    </xf>
    <xf numFmtId="0" fontId="3" fillId="4" borderId="42" xfId="0" applyFont="1" applyFill="1" applyBorder="1" applyAlignment="1" applyProtection="1">
      <alignment horizontal="center" vertical="center"/>
      <protection hidden="1"/>
    </xf>
    <xf numFmtId="168" fontId="3" fillId="10" borderId="5" xfId="0" applyNumberFormat="1" applyFont="1" applyFill="1" applyBorder="1" applyAlignment="1" applyProtection="1">
      <alignment horizontal="center" vertical="center"/>
      <protection hidden="1"/>
    </xf>
    <xf numFmtId="0" fontId="3" fillId="5" borderId="1" xfId="0" applyFont="1" applyFill="1" applyBorder="1" applyProtection="1">
      <protection hidden="1"/>
    </xf>
    <xf numFmtId="0" fontId="3" fillId="5" borderId="0" xfId="0" applyFont="1" applyFill="1" applyBorder="1" applyProtection="1">
      <protection hidden="1"/>
    </xf>
    <xf numFmtId="0" fontId="4" fillId="3" borderId="0" xfId="0" applyFont="1" applyFill="1" applyBorder="1" applyAlignment="1" applyProtection="1">
      <alignment horizontal="center"/>
      <protection hidden="1"/>
    </xf>
    <xf numFmtId="0" fontId="11" fillId="3" borderId="0" xfId="0" applyFont="1" applyFill="1" applyBorder="1" applyAlignment="1" applyProtection="1">
      <alignment vertical="top" wrapText="1"/>
      <protection hidden="1"/>
    </xf>
    <xf numFmtId="0" fontId="7" fillId="3" borderId="12" xfId="0" applyFont="1" applyFill="1" applyBorder="1" applyAlignment="1" applyProtection="1">
      <alignment horizontal="left"/>
      <protection hidden="1"/>
    </xf>
    <xf numFmtId="0" fontId="11" fillId="3" borderId="0" xfId="0" applyFont="1" applyFill="1" applyBorder="1" applyAlignment="1" applyProtection="1">
      <alignment horizontal="left" vertical="top" wrapText="1"/>
      <protection hidden="1"/>
    </xf>
    <xf numFmtId="0" fontId="7" fillId="3" borderId="0" xfId="0" applyFont="1" applyFill="1" applyBorder="1" applyAlignment="1" applyProtection="1">
      <alignment vertical="center"/>
      <protection hidden="1"/>
    </xf>
    <xf numFmtId="0" fontId="7" fillId="3" borderId="0" xfId="0" applyFont="1" applyFill="1" applyBorder="1" applyAlignment="1" applyProtection="1">
      <alignment vertical="top"/>
      <protection hidden="1"/>
    </xf>
    <xf numFmtId="4" fontId="7" fillId="3" borderId="0" xfId="0" applyNumberFormat="1" applyFont="1" applyFill="1" applyBorder="1" applyAlignment="1" applyProtection="1">
      <alignment vertical="center"/>
      <protection hidden="1"/>
    </xf>
    <xf numFmtId="0" fontId="3" fillId="3" borderId="0" xfId="0" applyFont="1" applyFill="1" applyBorder="1" applyAlignment="1" applyProtection="1">
      <alignment vertical="top" wrapText="1"/>
      <protection hidden="1"/>
    </xf>
    <xf numFmtId="0" fontId="3" fillId="3" borderId="0" xfId="0" applyFont="1" applyFill="1" applyBorder="1" applyAlignment="1" applyProtection="1">
      <alignment vertical="center" wrapText="1"/>
      <protection hidden="1"/>
    </xf>
    <xf numFmtId="0" fontId="11" fillId="3" borderId="0" xfId="0" applyFont="1" applyFill="1" applyAlignment="1" applyProtection="1">
      <alignment vertical="top" wrapText="1"/>
      <protection hidden="1"/>
    </xf>
    <xf numFmtId="2" fontId="3" fillId="3" borderId="0" xfId="0" applyNumberFormat="1" applyFont="1" applyFill="1" applyProtection="1">
      <protection hidden="1"/>
    </xf>
    <xf numFmtId="1" fontId="3" fillId="3" borderId="0" xfId="0" applyNumberFormat="1" applyFont="1" applyFill="1" applyAlignment="1" applyProtection="1">
      <alignment horizontal="right"/>
      <protection hidden="1"/>
    </xf>
    <xf numFmtId="0" fontId="0" fillId="6" borderId="25" xfId="0" applyFill="1" applyBorder="1" applyAlignment="1">
      <alignment horizontal="left"/>
    </xf>
    <xf numFmtId="0" fontId="0" fillId="6" borderId="0" xfId="0" applyFill="1" applyBorder="1" applyAlignment="1">
      <alignment horizontal="left"/>
    </xf>
    <xf numFmtId="0" fontId="0" fillId="6" borderId="0" xfId="0" applyFill="1" applyBorder="1"/>
    <xf numFmtId="0" fontId="0" fillId="6" borderId="26" xfId="0" applyFill="1" applyBorder="1" applyAlignment="1">
      <alignment horizontal="center"/>
    </xf>
    <xf numFmtId="0" fontId="0" fillId="6" borderId="0" xfId="0" applyFill="1"/>
    <xf numFmtId="0" fontId="6" fillId="8" borderId="33" xfId="0" applyFont="1" applyFill="1" applyBorder="1" applyAlignment="1" applyProtection="1">
      <alignment vertical="center"/>
      <protection hidden="1"/>
    </xf>
    <xf numFmtId="0" fontId="6" fillId="8" borderId="34" xfId="0" applyFont="1" applyFill="1" applyBorder="1" applyAlignment="1" applyProtection="1">
      <alignment vertical="center"/>
      <protection hidden="1"/>
    </xf>
    <xf numFmtId="165" fontId="6" fillId="8" borderId="34" xfId="0" applyNumberFormat="1" applyFont="1" applyFill="1" applyBorder="1" applyAlignment="1" applyProtection="1">
      <alignment horizontal="center" vertical="center"/>
      <protection hidden="1"/>
    </xf>
    <xf numFmtId="0" fontId="6" fillId="8" borderId="35" xfId="0" applyFont="1" applyFill="1" applyBorder="1" applyAlignment="1" applyProtection="1">
      <alignment vertical="center"/>
      <protection hidden="1"/>
    </xf>
    <xf numFmtId="165" fontId="3" fillId="4" borderId="67" xfId="0" applyNumberFormat="1" applyFont="1" applyFill="1" applyBorder="1" applyProtection="1">
      <protection hidden="1"/>
    </xf>
    <xf numFmtId="0" fontId="3" fillId="4" borderId="66" xfId="0" applyFont="1" applyFill="1" applyBorder="1" applyAlignment="1" applyProtection="1">
      <alignment horizontal="left" vertical="center"/>
      <protection hidden="1"/>
    </xf>
    <xf numFmtId="0" fontId="12" fillId="17" borderId="10" xfId="0" applyFont="1" applyFill="1" applyBorder="1" applyAlignment="1" applyProtection="1">
      <alignment horizontal="left" vertical="center" indent="1"/>
      <protection hidden="1"/>
    </xf>
    <xf numFmtId="165" fontId="3" fillId="3" borderId="47" xfId="0" applyNumberFormat="1" applyFont="1" applyFill="1" applyBorder="1" applyAlignment="1" applyProtection="1">
      <alignment horizontal="center" vertical="center"/>
      <protection hidden="1"/>
    </xf>
    <xf numFmtId="0" fontId="29" fillId="3" borderId="0" xfId="0" applyFont="1" applyFill="1" applyBorder="1" applyAlignment="1" applyProtection="1">
      <alignment vertical="top" wrapText="1"/>
      <protection hidden="1"/>
    </xf>
    <xf numFmtId="0" fontId="0" fillId="14" borderId="0" xfId="0" applyFill="1" applyAlignment="1">
      <alignment horizontal="center"/>
    </xf>
    <xf numFmtId="44" fontId="0" fillId="15" borderId="0" xfId="5" applyFont="1" applyFill="1"/>
    <xf numFmtId="44" fontId="0" fillId="6" borderId="26" xfId="5" applyFont="1" applyFill="1" applyBorder="1"/>
    <xf numFmtId="44" fontId="0" fillId="6" borderId="0" xfId="5" applyFont="1" applyFill="1" applyBorder="1"/>
    <xf numFmtId="0" fontId="0" fillId="6" borderId="0" xfId="0" applyFill="1" applyAlignment="1">
      <alignment horizontal="left"/>
    </xf>
    <xf numFmtId="44" fontId="0" fillId="6" borderId="0" xfId="5" applyFont="1" applyFill="1"/>
    <xf numFmtId="44" fontId="0" fillId="6" borderId="25" xfId="5" applyFont="1" applyFill="1" applyBorder="1"/>
    <xf numFmtId="165" fontId="3" fillId="14" borderId="17" xfId="0" applyNumberFormat="1" applyFont="1" applyFill="1" applyBorder="1" applyAlignment="1" applyProtection="1">
      <alignment horizontal="center" vertical="center"/>
      <protection hidden="1"/>
    </xf>
    <xf numFmtId="165" fontId="32" fillId="7" borderId="0" xfId="0" applyNumberFormat="1" applyFont="1" applyFill="1" applyBorder="1" applyAlignment="1" applyProtection="1">
      <alignment vertical="center"/>
      <protection hidden="1"/>
    </xf>
    <xf numFmtId="165" fontId="28" fillId="7" borderId="0" xfId="0" applyNumberFormat="1" applyFont="1" applyFill="1" applyProtection="1">
      <protection hidden="1"/>
    </xf>
    <xf numFmtId="165" fontId="33" fillId="9" borderId="0" xfId="0" applyNumberFormat="1" applyFont="1" applyFill="1" applyAlignment="1" applyProtection="1">
      <alignment horizontal="centerContinuous" vertical="center"/>
      <protection hidden="1"/>
    </xf>
    <xf numFmtId="165" fontId="34" fillId="9" borderId="0" xfId="0" applyNumberFormat="1" applyFont="1" applyFill="1" applyAlignment="1" applyProtection="1">
      <alignment horizontal="centerContinuous" vertical="center"/>
      <protection hidden="1"/>
    </xf>
    <xf numFmtId="165" fontId="28" fillId="3" borderId="0" xfId="0" applyNumberFormat="1" applyFont="1" applyFill="1" applyProtection="1">
      <protection hidden="1"/>
    </xf>
    <xf numFmtId="0" fontId="28" fillId="3" borderId="0" xfId="0" applyFont="1" applyFill="1" applyProtection="1">
      <protection hidden="1"/>
    </xf>
    <xf numFmtId="165" fontId="28" fillId="3" borderId="0" xfId="0" applyNumberFormat="1" applyFont="1" applyFill="1" applyBorder="1" applyProtection="1">
      <protection hidden="1"/>
    </xf>
    <xf numFmtId="165" fontId="34" fillId="7" borderId="0" xfId="0" applyNumberFormat="1" applyFont="1" applyFill="1" applyAlignment="1" applyProtection="1">
      <alignment horizontal="right" vertical="center" indent="1"/>
      <protection hidden="1"/>
    </xf>
    <xf numFmtId="165" fontId="28" fillId="10" borderId="8" xfId="0" quotePrefix="1" applyNumberFormat="1" applyFont="1" applyFill="1" applyBorder="1" applyAlignment="1" applyProtection="1">
      <alignment horizontal="center" vertical="center"/>
      <protection hidden="1"/>
    </xf>
    <xf numFmtId="167" fontId="28" fillId="3" borderId="8" xfId="0" applyNumberFormat="1" applyFont="1" applyFill="1" applyBorder="1" applyAlignment="1" applyProtection="1">
      <alignment horizontal="center" vertical="center"/>
      <protection hidden="1"/>
    </xf>
    <xf numFmtId="2" fontId="28" fillId="9" borderId="0" xfId="0" applyNumberFormat="1" applyFont="1" applyFill="1" applyAlignment="1" applyProtection="1">
      <alignment horizontal="centerContinuous"/>
      <protection hidden="1"/>
    </xf>
    <xf numFmtId="2" fontId="3" fillId="9" borderId="0" xfId="0" applyNumberFormat="1" applyFont="1" applyFill="1" applyProtection="1">
      <protection hidden="1"/>
    </xf>
    <xf numFmtId="164" fontId="35" fillId="9" borderId="0" xfId="0" applyNumberFormat="1" applyFont="1" applyFill="1" applyAlignment="1" applyProtection="1">
      <alignment horizontal="left" vertical="center"/>
      <protection hidden="1"/>
    </xf>
    <xf numFmtId="0" fontId="12" fillId="0" borderId="0" xfId="0" applyFont="1" applyProtection="1">
      <protection hidden="1"/>
    </xf>
    <xf numFmtId="0" fontId="3" fillId="4" borderId="31" xfId="0" applyFont="1" applyFill="1" applyBorder="1" applyAlignment="1" applyProtection="1">
      <alignment horizontal="center" vertical="center"/>
      <protection hidden="1"/>
    </xf>
    <xf numFmtId="1" fontId="3" fillId="9" borderId="31" xfId="0" applyNumberFormat="1" applyFont="1" applyFill="1" applyBorder="1" applyAlignment="1" applyProtection="1">
      <alignment horizontal="center" vertical="center"/>
      <protection locked="0"/>
    </xf>
    <xf numFmtId="165" fontId="3" fillId="3" borderId="31" xfId="0" applyNumberFormat="1" applyFont="1" applyFill="1" applyBorder="1" applyAlignment="1" applyProtection="1">
      <alignment horizontal="center" vertical="center"/>
      <protection hidden="1"/>
    </xf>
    <xf numFmtId="165" fontId="3" fillId="4" borderId="31" xfId="0" applyNumberFormat="1" applyFont="1" applyFill="1" applyBorder="1" applyAlignment="1" applyProtection="1">
      <alignment horizontal="center" vertical="center"/>
      <protection hidden="1"/>
    </xf>
    <xf numFmtId="3" fontId="3" fillId="4" borderId="31" xfId="0" applyNumberFormat="1" applyFont="1" applyFill="1" applyBorder="1" applyAlignment="1" applyProtection="1">
      <alignment horizontal="center" vertical="center"/>
      <protection hidden="1"/>
    </xf>
    <xf numFmtId="166" fontId="3" fillId="4" borderId="31" xfId="0" applyNumberFormat="1" applyFont="1" applyFill="1" applyBorder="1" applyAlignment="1" applyProtection="1">
      <alignment horizontal="center" vertical="center"/>
      <protection hidden="1"/>
    </xf>
    <xf numFmtId="165" fontId="3" fillId="4" borderId="32" xfId="0" applyNumberFormat="1" applyFont="1" applyFill="1" applyBorder="1" applyAlignment="1" applyProtection="1">
      <alignment horizontal="center" vertical="center"/>
      <protection hidden="1"/>
    </xf>
    <xf numFmtId="168" fontId="3" fillId="10" borderId="76" xfId="0" applyNumberFormat="1" applyFont="1" applyFill="1" applyBorder="1" applyAlignment="1" applyProtection="1">
      <alignment horizontal="center" vertical="center"/>
      <protection hidden="1"/>
    </xf>
    <xf numFmtId="2" fontId="3" fillId="9" borderId="31" xfId="0" applyNumberFormat="1" applyFont="1" applyFill="1" applyBorder="1" applyAlignment="1" applyProtection="1">
      <alignment horizontal="center" vertical="center"/>
      <protection locked="0"/>
    </xf>
    <xf numFmtId="2" fontId="3" fillId="10" borderId="31" xfId="0" applyNumberFormat="1" applyFont="1" applyFill="1" applyBorder="1" applyAlignment="1" applyProtection="1">
      <alignment horizontal="center" vertical="center"/>
      <protection hidden="1"/>
    </xf>
    <xf numFmtId="2" fontId="3" fillId="10" borderId="32" xfId="0" applyNumberFormat="1" applyFont="1" applyFill="1" applyBorder="1" applyAlignment="1" applyProtection="1">
      <alignment horizontal="center" vertical="center"/>
      <protection hidden="1"/>
    </xf>
    <xf numFmtId="165" fontId="12" fillId="3" borderId="0" xfId="0" applyNumberFormat="1" applyFont="1" applyFill="1" applyBorder="1" applyProtection="1">
      <protection hidden="1"/>
    </xf>
    <xf numFmtId="0" fontId="3" fillId="4" borderId="78" xfId="0" applyFont="1" applyFill="1" applyBorder="1" applyAlignment="1" applyProtection="1">
      <alignment horizontal="left" vertical="center"/>
      <protection hidden="1"/>
    </xf>
    <xf numFmtId="3" fontId="3" fillId="7" borderId="79" xfId="0" applyNumberFormat="1" applyFont="1" applyFill="1" applyBorder="1" applyAlignment="1" applyProtection="1">
      <alignment horizontal="center" vertical="center"/>
      <protection hidden="1"/>
    </xf>
    <xf numFmtId="165" fontId="9" fillId="4" borderId="79" xfId="0" applyNumberFormat="1" applyFont="1" applyFill="1" applyBorder="1" applyProtection="1">
      <protection hidden="1"/>
    </xf>
    <xf numFmtId="165" fontId="3" fillId="4" borderId="80" xfId="0" applyNumberFormat="1" applyFont="1" applyFill="1" applyBorder="1" applyProtection="1">
      <protection hidden="1"/>
    </xf>
    <xf numFmtId="165" fontId="3" fillId="4" borderId="77" xfId="0" applyNumberFormat="1" applyFont="1" applyFill="1" applyBorder="1" applyProtection="1">
      <protection hidden="1"/>
    </xf>
    <xf numFmtId="0" fontId="3" fillId="0" borderId="42" xfId="0" applyFont="1" applyBorder="1" applyAlignment="1" applyProtection="1">
      <alignment horizontal="center" vertical="center"/>
      <protection hidden="1"/>
    </xf>
    <xf numFmtId="165" fontId="3" fillId="0" borderId="17" xfId="0" applyNumberFormat="1" applyFont="1" applyBorder="1" applyAlignment="1" applyProtection="1">
      <alignment horizontal="center" vertical="center"/>
      <protection hidden="1"/>
    </xf>
    <xf numFmtId="0" fontId="3" fillId="0" borderId="5" xfId="0" applyFont="1" applyBorder="1" applyAlignment="1" applyProtection="1">
      <alignment horizontal="left" vertical="center" indent="2"/>
      <protection hidden="1"/>
    </xf>
    <xf numFmtId="0" fontId="3" fillId="4" borderId="11" xfId="0" applyFont="1" applyFill="1" applyBorder="1" applyAlignment="1" applyProtection="1">
      <alignment horizontal="left" vertical="center" indent="2"/>
      <protection hidden="1"/>
    </xf>
    <xf numFmtId="0" fontId="3" fillId="4" borderId="5" xfId="0" applyFont="1" applyFill="1" applyBorder="1" applyAlignment="1" applyProtection="1">
      <alignment horizontal="left" vertical="center" indent="2"/>
      <protection hidden="1"/>
    </xf>
    <xf numFmtId="0" fontId="3" fillId="4" borderId="76" xfId="0" applyFont="1" applyFill="1" applyBorder="1" applyAlignment="1" applyProtection="1">
      <alignment horizontal="left" vertical="center" indent="2"/>
      <protection hidden="1"/>
    </xf>
    <xf numFmtId="0" fontId="26" fillId="3" borderId="59" xfId="0" applyFont="1" applyFill="1" applyBorder="1" applyAlignment="1" applyProtection="1">
      <alignment horizontal="left"/>
      <protection hidden="1"/>
    </xf>
    <xf numFmtId="0" fontId="26" fillId="3" borderId="81" xfId="0" applyFont="1" applyFill="1" applyBorder="1" applyAlignment="1" applyProtection="1">
      <alignment horizontal="left"/>
      <protection hidden="1"/>
    </xf>
    <xf numFmtId="0" fontId="26" fillId="3" borderId="60" xfId="0" applyFont="1" applyFill="1" applyBorder="1" applyAlignment="1" applyProtection="1">
      <alignment horizontal="left"/>
      <protection hidden="1"/>
    </xf>
    <xf numFmtId="165" fontId="3" fillId="9" borderId="17" xfId="0" applyNumberFormat="1" applyFont="1" applyFill="1" applyBorder="1" applyAlignment="1" applyProtection="1">
      <alignment horizontal="center" vertical="center"/>
      <protection locked="0"/>
    </xf>
    <xf numFmtId="165" fontId="3" fillId="0" borderId="79" xfId="0" applyNumberFormat="1" applyFont="1" applyBorder="1" applyProtection="1">
      <protection hidden="1"/>
    </xf>
    <xf numFmtId="0" fontId="3" fillId="8" borderId="79" xfId="0" applyFont="1" applyFill="1" applyBorder="1" applyAlignment="1" applyProtection="1">
      <alignment horizontal="left" vertical="center"/>
      <protection hidden="1"/>
    </xf>
    <xf numFmtId="166" fontId="3" fillId="8" borderId="17" xfId="0" applyNumberFormat="1" applyFont="1" applyFill="1" applyBorder="1" applyAlignment="1" applyProtection="1">
      <alignment horizontal="center" vertical="center"/>
      <protection hidden="1"/>
    </xf>
    <xf numFmtId="1" fontId="3" fillId="8" borderId="42" xfId="0" applyNumberFormat="1" applyFont="1" applyFill="1" applyBorder="1" applyAlignment="1" applyProtection="1">
      <alignment horizontal="center" vertical="center"/>
      <protection hidden="1"/>
    </xf>
    <xf numFmtId="168" fontId="3" fillId="9" borderId="5" xfId="0" applyNumberFormat="1" applyFont="1" applyFill="1" applyBorder="1" applyAlignment="1" applyProtection="1">
      <alignment horizontal="center" vertical="center"/>
      <protection hidden="1"/>
    </xf>
    <xf numFmtId="168" fontId="3" fillId="9" borderId="5" xfId="0" applyNumberFormat="1"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protection hidden="1"/>
    </xf>
    <xf numFmtId="0" fontId="15" fillId="5" borderId="0" xfId="0" applyFont="1" applyFill="1" applyBorder="1" applyAlignment="1" applyProtection="1">
      <alignment horizontal="center" vertical="center" wrapText="1"/>
      <protection hidden="1"/>
    </xf>
    <xf numFmtId="0" fontId="3" fillId="0" borderId="0" xfId="0" applyFont="1" applyProtection="1">
      <protection hidden="1"/>
    </xf>
    <xf numFmtId="164" fontId="3" fillId="0" borderId="0" xfId="0" applyNumberFormat="1" applyFont="1" applyProtection="1">
      <protection hidden="1"/>
    </xf>
    <xf numFmtId="165" fontId="3" fillId="0" borderId="0" xfId="0" applyNumberFormat="1" applyFont="1" applyBorder="1" applyProtection="1">
      <protection hidden="1"/>
    </xf>
    <xf numFmtId="0" fontId="23" fillId="0" borderId="0" xfId="0" applyFont="1" applyAlignment="1" applyProtection="1">
      <alignment horizontal="center"/>
      <protection hidden="1"/>
    </xf>
    <xf numFmtId="0" fontId="15" fillId="0" borderId="0" xfId="0" applyFont="1" applyBorder="1" applyAlignment="1" applyProtection="1">
      <alignment horizontal="center" vertical="center"/>
      <protection hidden="1"/>
    </xf>
    <xf numFmtId="0" fontId="15" fillId="0" borderId="0"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3" fillId="0" borderId="0" xfId="0" applyFont="1" applyBorder="1" applyProtection="1">
      <protection hidden="1"/>
    </xf>
    <xf numFmtId="165" fontId="3" fillId="0" borderId="0" xfId="0" applyNumberFormat="1" applyFont="1" applyProtection="1">
      <protection hidden="1"/>
    </xf>
    <xf numFmtId="169" fontId="11" fillId="3" borderId="0" xfId="0" applyNumberFormat="1" applyFont="1" applyFill="1" applyBorder="1" applyAlignment="1" applyProtection="1">
      <alignment vertical="top" wrapText="1"/>
      <protection hidden="1"/>
    </xf>
    <xf numFmtId="0" fontId="3" fillId="0" borderId="0" xfId="0" applyFont="1" applyBorder="1" applyAlignment="1" applyProtection="1">
      <alignment horizontal="left" vertical="center" indent="1"/>
      <protection hidden="1"/>
    </xf>
    <xf numFmtId="9" fontId="19" fillId="17" borderId="4" xfId="1" applyFont="1" applyFill="1" applyBorder="1" applyAlignment="1" applyProtection="1">
      <alignment horizontal="right" vertical="center" indent="2"/>
      <protection hidden="1"/>
    </xf>
    <xf numFmtId="165" fontId="19" fillId="17" borderId="84" xfId="0" applyNumberFormat="1" applyFont="1" applyFill="1" applyBorder="1" applyAlignment="1" applyProtection="1">
      <alignment horizontal="right" vertical="center" indent="2"/>
      <protection hidden="1"/>
    </xf>
    <xf numFmtId="0" fontId="0" fillId="0" borderId="89" xfId="0" applyBorder="1" applyAlignment="1" applyProtection="1">
      <alignment horizontal="left" vertical="center" indent="1"/>
      <protection hidden="1"/>
    </xf>
    <xf numFmtId="0" fontId="0" fillId="0" borderId="90" xfId="0" applyBorder="1" applyAlignment="1" applyProtection="1">
      <alignment horizontal="left" vertical="center" indent="1"/>
      <protection hidden="1"/>
    </xf>
    <xf numFmtId="0" fontId="0" fillId="0" borderId="91" xfId="0" applyBorder="1" applyAlignment="1" applyProtection="1">
      <alignment horizontal="left" vertical="center" indent="1"/>
      <protection hidden="1"/>
    </xf>
    <xf numFmtId="167" fontId="0" fillId="8" borderId="8" xfId="1" applyNumberFormat="1" applyFont="1" applyFill="1" applyBorder="1" applyAlignment="1" applyProtection="1">
      <alignment horizontal="center" vertical="center"/>
      <protection hidden="1"/>
    </xf>
    <xf numFmtId="167" fontId="19" fillId="17" borderId="4" xfId="1" applyNumberFormat="1" applyFont="1" applyFill="1" applyBorder="1" applyAlignment="1" applyProtection="1">
      <alignment horizontal="center" vertical="center"/>
      <protection hidden="1"/>
    </xf>
    <xf numFmtId="167" fontId="0" fillId="3" borderId="40" xfId="1" applyNumberFormat="1" applyFont="1" applyFill="1" applyBorder="1" applyAlignment="1" applyProtection="1">
      <alignment horizontal="center" vertical="center"/>
      <protection hidden="1"/>
    </xf>
    <xf numFmtId="167" fontId="0" fillId="3" borderId="10" xfId="1" applyNumberFormat="1" applyFont="1" applyFill="1" applyBorder="1" applyAlignment="1" applyProtection="1">
      <alignment horizontal="center" vertical="center"/>
      <protection hidden="1"/>
    </xf>
    <xf numFmtId="167" fontId="0" fillId="8" borderId="49" xfId="1" applyNumberFormat="1" applyFont="1" applyFill="1" applyBorder="1" applyAlignment="1" applyProtection="1">
      <alignment horizontal="center" vertical="center"/>
      <protection hidden="1"/>
    </xf>
    <xf numFmtId="165" fontId="3" fillId="8" borderId="95" xfId="0" applyNumberFormat="1" applyFont="1" applyFill="1" applyBorder="1" applyAlignment="1" applyProtection="1">
      <alignment horizontal="center" vertical="center"/>
      <protection hidden="1"/>
    </xf>
    <xf numFmtId="165" fontId="6" fillId="0" borderId="0" xfId="0" applyNumberFormat="1" applyFont="1" applyBorder="1" applyAlignment="1" applyProtection="1">
      <alignment horizontal="right" vertical="center" indent="2"/>
      <protection hidden="1"/>
    </xf>
    <xf numFmtId="167" fontId="0" fillId="3" borderId="57" xfId="1" applyNumberFormat="1" applyFont="1" applyFill="1" applyBorder="1" applyAlignment="1" applyProtection="1">
      <alignment horizontal="center" vertical="center"/>
      <protection hidden="1"/>
    </xf>
    <xf numFmtId="167" fontId="0" fillId="0" borderId="92" xfId="1" applyNumberFormat="1" applyFont="1" applyBorder="1" applyAlignment="1" applyProtection="1">
      <alignment horizontal="center" vertical="center"/>
      <protection hidden="1"/>
    </xf>
    <xf numFmtId="167" fontId="3" fillId="8" borderId="8" xfId="1" applyNumberFormat="1" applyFont="1" applyFill="1" applyBorder="1" applyAlignment="1" applyProtection="1">
      <alignment horizontal="center" vertical="center"/>
      <protection hidden="1"/>
    </xf>
    <xf numFmtId="167" fontId="12" fillId="17" borderId="10" xfId="1" applyNumberFormat="1" applyFont="1" applyFill="1" applyBorder="1" applyAlignment="1" applyProtection="1">
      <alignment horizontal="center" vertical="center"/>
      <protection hidden="1"/>
    </xf>
    <xf numFmtId="167" fontId="3" fillId="3" borderId="8" xfId="1" applyNumberFormat="1" applyFont="1" applyFill="1" applyBorder="1" applyAlignment="1" applyProtection="1">
      <alignment horizontal="center" vertical="center"/>
      <protection hidden="1"/>
    </xf>
    <xf numFmtId="167" fontId="3" fillId="3" borderId="49" xfId="1" applyNumberFormat="1" applyFont="1" applyFill="1" applyBorder="1" applyAlignment="1" applyProtection="1">
      <alignment horizontal="center" vertical="center"/>
      <protection hidden="1"/>
    </xf>
    <xf numFmtId="167" fontId="3" fillId="8" borderId="94" xfId="1" applyNumberFormat="1" applyFont="1" applyFill="1" applyBorder="1" applyAlignment="1" applyProtection="1">
      <alignment horizontal="center" vertical="center"/>
      <protection hidden="1"/>
    </xf>
    <xf numFmtId="165" fontId="6" fillId="0" borderId="95" xfId="0" applyNumberFormat="1" applyFont="1" applyBorder="1" applyAlignment="1" applyProtection="1">
      <alignment horizontal="right" vertical="center" indent="2"/>
      <protection hidden="1"/>
    </xf>
    <xf numFmtId="167" fontId="6" fillId="0" borderId="92" xfId="1" applyNumberFormat="1" applyFont="1" applyBorder="1" applyAlignment="1" applyProtection="1">
      <alignment horizontal="center" vertical="center"/>
      <protection hidden="1"/>
    </xf>
    <xf numFmtId="0" fontId="37" fillId="18" borderId="33" xfId="0" applyFont="1" applyFill="1" applyBorder="1" applyAlignment="1" applyProtection="1">
      <alignment horizontal="center" vertical="center"/>
      <protection hidden="1"/>
    </xf>
    <xf numFmtId="0" fontId="37" fillId="18" borderId="34" xfId="0" applyFont="1" applyFill="1" applyBorder="1" applyAlignment="1" applyProtection="1">
      <alignment horizontal="center" vertical="center"/>
      <protection hidden="1"/>
    </xf>
    <xf numFmtId="0" fontId="37" fillId="18" borderId="35" xfId="0" applyFont="1" applyFill="1" applyBorder="1" applyAlignment="1" applyProtection="1">
      <alignment horizontal="center" vertical="center"/>
      <protection hidden="1"/>
    </xf>
    <xf numFmtId="0" fontId="15" fillId="5" borderId="21" xfId="0" applyFont="1" applyFill="1" applyBorder="1" applyAlignment="1" applyProtection="1">
      <alignment horizontal="center" vertical="center"/>
      <protection hidden="1"/>
    </xf>
    <xf numFmtId="0" fontId="15" fillId="5" borderId="1" xfId="0" applyFont="1" applyFill="1" applyBorder="1" applyAlignment="1" applyProtection="1">
      <alignment horizontal="center" vertical="center" wrapText="1"/>
      <protection hidden="1"/>
    </xf>
    <xf numFmtId="0" fontId="15" fillId="5" borderId="6" xfId="0" applyFont="1" applyFill="1" applyBorder="1" applyAlignment="1" applyProtection="1">
      <alignment horizontal="center" vertical="center" wrapText="1"/>
      <protection hidden="1"/>
    </xf>
    <xf numFmtId="0" fontId="19" fillId="17" borderId="83" xfId="0" applyFont="1" applyFill="1" applyBorder="1" applyAlignment="1" applyProtection="1">
      <alignment horizontal="left" vertical="center" indent="4"/>
      <protection hidden="1"/>
    </xf>
    <xf numFmtId="0" fontId="19" fillId="17" borderId="4" xfId="0" applyFont="1" applyFill="1" applyBorder="1" applyAlignment="1" applyProtection="1">
      <alignment horizontal="left" vertical="center" indent="4"/>
      <protection hidden="1"/>
    </xf>
    <xf numFmtId="165" fontId="5" fillId="5" borderId="27" xfId="0" applyNumberFormat="1" applyFont="1" applyFill="1" applyBorder="1" applyAlignment="1" applyProtection="1">
      <alignment horizontal="center" vertical="center" wrapText="1"/>
      <protection hidden="1"/>
    </xf>
    <xf numFmtId="165" fontId="6" fillId="5" borderId="8" xfId="0" applyNumberFormat="1" applyFont="1" applyFill="1" applyBorder="1" applyAlignment="1" applyProtection="1">
      <alignment horizontal="center" vertical="center" wrapText="1"/>
      <protection hidden="1"/>
    </xf>
    <xf numFmtId="165" fontId="6" fillId="5" borderId="31" xfId="0" applyNumberFormat="1" applyFont="1" applyFill="1" applyBorder="1" applyAlignment="1" applyProtection="1">
      <alignment horizontal="center" vertical="center" wrapText="1"/>
      <protection hidden="1"/>
    </xf>
    <xf numFmtId="0" fontId="0" fillId="3" borderId="56" xfId="0" applyFill="1" applyBorder="1" applyAlignment="1" applyProtection="1">
      <alignment horizontal="left" vertical="center" indent="1"/>
      <protection hidden="1"/>
    </xf>
    <xf numFmtId="0" fontId="0" fillId="3" borderId="57" xfId="0" applyFill="1" applyBorder="1" applyAlignment="1" applyProtection="1">
      <alignment horizontal="left" vertical="center" indent="1"/>
      <protection hidden="1"/>
    </xf>
    <xf numFmtId="0" fontId="0" fillId="3" borderId="48" xfId="0" applyFill="1" applyBorder="1" applyAlignment="1" applyProtection="1">
      <alignment horizontal="left" vertical="center" indent="1"/>
      <protection hidden="1"/>
    </xf>
    <xf numFmtId="0" fontId="0" fillId="8" borderId="29" xfId="0" applyFill="1" applyBorder="1" applyAlignment="1" applyProtection="1">
      <alignment horizontal="left" vertical="center" indent="3"/>
      <protection hidden="1"/>
    </xf>
    <xf numFmtId="0" fontId="0" fillId="8" borderId="8" xfId="0" applyFill="1" applyBorder="1" applyAlignment="1" applyProtection="1">
      <alignment horizontal="left" vertical="center" indent="3"/>
      <protection hidden="1"/>
    </xf>
    <xf numFmtId="0" fontId="0" fillId="3" borderId="39" xfId="0" applyFill="1" applyBorder="1" applyAlignment="1" applyProtection="1">
      <alignment horizontal="left" vertical="center" indent="1"/>
      <protection hidden="1"/>
    </xf>
    <xf numFmtId="0" fontId="0" fillId="3" borderId="40" xfId="0" applyFill="1" applyBorder="1" applyAlignment="1" applyProtection="1">
      <alignment horizontal="left" vertical="center" indent="1"/>
      <protection hidden="1"/>
    </xf>
    <xf numFmtId="0" fontId="0" fillId="3" borderId="38" xfId="0" applyFill="1" applyBorder="1" applyAlignment="1" applyProtection="1">
      <alignment horizontal="left" vertical="center" indent="1"/>
      <protection hidden="1"/>
    </xf>
    <xf numFmtId="165" fontId="0" fillId="3" borderId="53" xfId="0" applyNumberFormat="1" applyFill="1" applyBorder="1" applyAlignment="1" applyProtection="1">
      <alignment horizontal="right" vertical="center" indent="2"/>
      <protection hidden="1"/>
    </xf>
    <xf numFmtId="165" fontId="0" fillId="3" borderId="40" xfId="0" applyNumberFormat="1" applyFill="1" applyBorder="1" applyAlignment="1" applyProtection="1">
      <alignment horizontal="right" vertical="center" indent="2"/>
      <protection hidden="1"/>
    </xf>
    <xf numFmtId="165" fontId="0" fillId="3" borderId="54" xfId="0" applyNumberFormat="1" applyFill="1" applyBorder="1" applyAlignment="1" applyProtection="1">
      <alignment horizontal="right" vertical="center" indent="2"/>
      <protection hidden="1"/>
    </xf>
    <xf numFmtId="165" fontId="0" fillId="8" borderId="87" xfId="0" applyNumberFormat="1" applyFill="1" applyBorder="1" applyAlignment="1" applyProtection="1">
      <alignment horizontal="right" vertical="center" indent="2"/>
      <protection hidden="1"/>
    </xf>
    <xf numFmtId="165" fontId="0" fillId="8" borderId="88" xfId="0" applyNumberFormat="1" applyFill="1" applyBorder="1" applyAlignment="1" applyProtection="1">
      <alignment horizontal="right" vertical="center" indent="2"/>
      <protection hidden="1"/>
    </xf>
    <xf numFmtId="165" fontId="0" fillId="3" borderId="8" xfId="0" applyNumberFormat="1" applyFill="1" applyBorder="1" applyAlignment="1" applyProtection="1">
      <alignment horizontal="right" vertical="center" indent="2"/>
      <protection hidden="1"/>
    </xf>
    <xf numFmtId="165" fontId="0" fillId="3" borderId="30" xfId="0" applyNumberFormat="1" applyFill="1" applyBorder="1" applyAlignment="1" applyProtection="1">
      <alignment horizontal="right" vertical="center" indent="2"/>
      <protection hidden="1"/>
    </xf>
    <xf numFmtId="165" fontId="0" fillId="3" borderId="17" xfId="0" applyNumberFormat="1" applyFill="1" applyBorder="1" applyAlignment="1" applyProtection="1">
      <alignment horizontal="right" vertical="center" indent="2"/>
      <protection hidden="1"/>
    </xf>
    <xf numFmtId="165" fontId="0" fillId="3" borderId="36" xfId="0" applyNumberFormat="1" applyFill="1" applyBorder="1" applyAlignment="1" applyProtection="1">
      <alignment horizontal="right" vertical="center" indent="2"/>
      <protection hidden="1"/>
    </xf>
    <xf numFmtId="165" fontId="0" fillId="8" borderId="9" xfId="0" applyNumberFormat="1" applyFill="1" applyBorder="1" applyAlignment="1" applyProtection="1">
      <alignment horizontal="right" vertical="center" indent="2"/>
      <protection hidden="1"/>
    </xf>
    <xf numFmtId="165" fontId="0" fillId="8" borderId="55" xfId="0" applyNumberFormat="1" applyFill="1" applyBorder="1" applyAlignment="1" applyProtection="1">
      <alignment horizontal="right" vertical="center" indent="2"/>
      <protection hidden="1"/>
    </xf>
    <xf numFmtId="0" fontId="11" fillId="3" borderId="0" xfId="0" applyFont="1" applyFill="1" applyBorder="1" applyAlignment="1" applyProtection="1">
      <alignment horizontal="left" vertical="top" wrapText="1"/>
      <protection hidden="1"/>
    </xf>
    <xf numFmtId="0" fontId="0" fillId="0" borderId="72" xfId="0" applyBorder="1" applyAlignment="1" applyProtection="1">
      <alignment horizontal="left" vertical="center" indent="1"/>
      <protection hidden="1"/>
    </xf>
    <xf numFmtId="0" fontId="0" fillId="0" borderId="73" xfId="0" applyBorder="1" applyAlignment="1" applyProtection="1">
      <alignment horizontal="left" vertical="center" indent="1"/>
      <protection hidden="1"/>
    </xf>
    <xf numFmtId="0" fontId="0" fillId="0" borderId="74" xfId="0" applyBorder="1" applyAlignment="1" applyProtection="1">
      <alignment horizontal="left" vertical="center" indent="1"/>
      <protection hidden="1"/>
    </xf>
    <xf numFmtId="165" fontId="15" fillId="14" borderId="100" xfId="0" applyNumberFormat="1" applyFont="1" applyFill="1" applyBorder="1" applyAlignment="1" applyProtection="1">
      <alignment horizontal="right" vertical="center" indent="2"/>
      <protection hidden="1"/>
    </xf>
    <xf numFmtId="165" fontId="15" fillId="14" borderId="98" xfId="0" applyNumberFormat="1" applyFont="1" applyFill="1" applyBorder="1" applyAlignment="1" applyProtection="1">
      <alignment horizontal="right" vertical="center" indent="2"/>
      <protection hidden="1"/>
    </xf>
    <xf numFmtId="165" fontId="15" fillId="14" borderId="99" xfId="0" applyNumberFormat="1" applyFont="1" applyFill="1" applyBorder="1" applyAlignment="1" applyProtection="1">
      <alignment horizontal="right" vertical="center" indent="2"/>
      <protection hidden="1"/>
    </xf>
    <xf numFmtId="2" fontId="5" fillId="10" borderId="28" xfId="0" applyNumberFormat="1" applyFont="1" applyFill="1" applyBorder="1" applyAlignment="1" applyProtection="1">
      <alignment horizontal="center" vertical="center" wrapText="1"/>
      <protection hidden="1"/>
    </xf>
    <xf numFmtId="2" fontId="6" fillId="10" borderId="30" xfId="0" applyNumberFormat="1" applyFont="1" applyFill="1" applyBorder="1" applyAlignment="1" applyProtection="1">
      <alignment horizontal="center" vertical="center" wrapText="1"/>
      <protection hidden="1"/>
    </xf>
    <xf numFmtId="2" fontId="6" fillId="10" borderId="32" xfId="0" applyNumberFormat="1" applyFont="1" applyFill="1" applyBorder="1" applyAlignment="1" applyProtection="1">
      <alignment horizontal="center" vertical="center" wrapText="1"/>
      <protection hidden="1"/>
    </xf>
    <xf numFmtId="165" fontId="5" fillId="5" borderId="44" xfId="0" applyNumberFormat="1" applyFont="1" applyFill="1" applyBorder="1" applyAlignment="1" applyProtection="1">
      <alignment horizontal="center" vertical="center" wrapText="1"/>
      <protection hidden="1"/>
    </xf>
    <xf numFmtId="165" fontId="5" fillId="5" borderId="45" xfId="0" applyNumberFormat="1" applyFont="1" applyFill="1" applyBorder="1" applyAlignment="1" applyProtection="1">
      <alignment horizontal="center" vertical="center" wrapText="1"/>
      <protection hidden="1"/>
    </xf>
    <xf numFmtId="165" fontId="5" fillId="5" borderId="46" xfId="0" applyNumberFormat="1" applyFont="1" applyFill="1" applyBorder="1" applyAlignment="1" applyProtection="1">
      <alignment horizontal="center" vertical="center" wrapText="1"/>
      <protection hidden="1"/>
    </xf>
    <xf numFmtId="165" fontId="5" fillId="5" borderId="28" xfId="0" applyNumberFormat="1" applyFont="1" applyFill="1" applyBorder="1" applyAlignment="1" applyProtection="1">
      <alignment horizontal="center" vertical="center" wrapText="1"/>
      <protection hidden="1"/>
    </xf>
    <xf numFmtId="165" fontId="6" fillId="5" borderId="30" xfId="0" applyNumberFormat="1" applyFont="1" applyFill="1" applyBorder="1" applyAlignment="1" applyProtection="1">
      <alignment horizontal="center" vertical="center" wrapText="1"/>
      <protection hidden="1"/>
    </xf>
    <xf numFmtId="165" fontId="6" fillId="5" borderId="32" xfId="0" applyNumberFormat="1" applyFont="1" applyFill="1" applyBorder="1" applyAlignment="1" applyProtection="1">
      <alignment horizontal="center" vertical="center" wrapText="1"/>
      <protection hidden="1"/>
    </xf>
    <xf numFmtId="164" fontId="5" fillId="10" borderId="50" xfId="0" applyNumberFormat="1" applyFont="1" applyFill="1" applyBorder="1" applyAlignment="1" applyProtection="1">
      <alignment horizontal="center" vertical="center" wrapText="1"/>
      <protection hidden="1"/>
    </xf>
    <xf numFmtId="164" fontId="5" fillId="10" borderId="51" xfId="0" applyNumberFormat="1" applyFont="1" applyFill="1" applyBorder="1" applyAlignment="1" applyProtection="1">
      <alignment horizontal="center" vertical="center" wrapText="1"/>
      <protection hidden="1"/>
    </xf>
    <xf numFmtId="164" fontId="5" fillId="10" borderId="52" xfId="0" applyNumberFormat="1" applyFont="1" applyFill="1" applyBorder="1" applyAlignment="1" applyProtection="1">
      <alignment horizontal="center" vertical="center" wrapText="1"/>
      <protection hidden="1"/>
    </xf>
    <xf numFmtId="2" fontId="5" fillId="10" borderId="27" xfId="0" applyNumberFormat="1" applyFont="1" applyFill="1" applyBorder="1" applyAlignment="1" applyProtection="1">
      <alignment horizontal="center" vertical="center" wrapText="1"/>
      <protection hidden="1"/>
    </xf>
    <xf numFmtId="2" fontId="6" fillId="10" borderId="8" xfId="0" applyNumberFormat="1" applyFont="1" applyFill="1" applyBorder="1" applyAlignment="1" applyProtection="1">
      <alignment horizontal="center" vertical="center" wrapText="1"/>
      <protection hidden="1"/>
    </xf>
    <xf numFmtId="2" fontId="6" fillId="10" borderId="31" xfId="0" applyNumberFormat="1" applyFont="1" applyFill="1" applyBorder="1" applyAlignment="1" applyProtection="1">
      <alignment horizontal="center" vertical="center" wrapText="1"/>
      <protection hidden="1"/>
    </xf>
    <xf numFmtId="2" fontId="5" fillId="10" borderId="44" xfId="0" applyNumberFormat="1" applyFont="1" applyFill="1" applyBorder="1" applyAlignment="1" applyProtection="1">
      <alignment horizontal="center" vertical="center" wrapText="1"/>
      <protection hidden="1"/>
    </xf>
    <xf numFmtId="2" fontId="5" fillId="10" borderId="45" xfId="0" applyNumberFormat="1" applyFont="1" applyFill="1" applyBorder="1" applyAlignment="1" applyProtection="1">
      <alignment horizontal="center" vertical="center" wrapText="1"/>
      <protection hidden="1"/>
    </xf>
    <xf numFmtId="2" fontId="5" fillId="10" borderId="46" xfId="0" applyNumberFormat="1" applyFont="1" applyFill="1" applyBorder="1" applyAlignment="1" applyProtection="1">
      <alignment horizontal="center" vertical="center" wrapText="1"/>
      <protection hidden="1"/>
    </xf>
    <xf numFmtId="1" fontId="16" fillId="9" borderId="9" xfId="0" applyNumberFormat="1" applyFont="1" applyFill="1" applyBorder="1" applyAlignment="1" applyProtection="1">
      <alignment horizontal="center" vertical="center" wrapText="1"/>
      <protection locked="0"/>
    </xf>
    <xf numFmtId="1" fontId="16" fillId="9" borderId="11" xfId="0" applyNumberFormat="1" applyFont="1" applyFill="1" applyBorder="1" applyAlignment="1" applyProtection="1">
      <alignment horizontal="center" vertical="center" wrapText="1"/>
      <protection locked="0"/>
    </xf>
    <xf numFmtId="0" fontId="14" fillId="13" borderId="0" xfId="0" applyFont="1" applyFill="1" applyAlignment="1" applyProtection="1">
      <alignment horizontal="left" vertical="center" wrapText="1"/>
      <protection hidden="1"/>
    </xf>
    <xf numFmtId="164" fontId="5" fillId="10" borderId="58" xfId="0" applyNumberFormat="1" applyFont="1" applyFill="1" applyBorder="1" applyAlignment="1" applyProtection="1">
      <alignment horizontal="center" vertical="center" wrapText="1"/>
      <protection hidden="1"/>
    </xf>
    <xf numFmtId="164" fontId="6" fillId="10" borderId="59" xfId="0" applyNumberFormat="1" applyFont="1" applyFill="1" applyBorder="1" applyAlignment="1" applyProtection="1">
      <alignment horizontal="center" vertical="center" wrapText="1"/>
      <protection hidden="1"/>
    </xf>
    <xf numFmtId="164" fontId="6" fillId="10" borderId="60" xfId="0" applyNumberFormat="1" applyFont="1" applyFill="1" applyBorder="1" applyAlignment="1" applyProtection="1">
      <alignment horizontal="center" vertical="center" wrapText="1"/>
      <protection hidden="1"/>
    </xf>
    <xf numFmtId="0" fontId="5" fillId="5" borderId="38"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hidden="1"/>
    </xf>
    <xf numFmtId="0" fontId="6" fillId="5" borderId="76" xfId="0" applyFont="1" applyFill="1" applyBorder="1" applyAlignment="1" applyProtection="1">
      <alignment horizontal="center" vertical="center" wrapText="1"/>
      <protection hidden="1"/>
    </xf>
    <xf numFmtId="0" fontId="5" fillId="5" borderId="27" xfId="0" applyFont="1" applyFill="1" applyBorder="1" applyAlignment="1" applyProtection="1">
      <alignment horizontal="center" vertical="center"/>
      <protection hidden="1"/>
    </xf>
    <xf numFmtId="0" fontId="6" fillId="5" borderId="8" xfId="0" applyFont="1" applyFill="1" applyBorder="1" applyAlignment="1" applyProtection="1">
      <alignment horizontal="center" vertical="center" wrapText="1"/>
      <protection hidden="1"/>
    </xf>
    <xf numFmtId="0" fontId="6" fillId="5" borderId="31" xfId="0" applyFont="1" applyFill="1" applyBorder="1" applyAlignment="1" applyProtection="1">
      <alignment horizontal="center" vertical="center" wrapText="1"/>
      <protection hidden="1"/>
    </xf>
    <xf numFmtId="1" fontId="5" fillId="5" borderId="27" xfId="0" applyNumberFormat="1" applyFont="1" applyFill="1" applyBorder="1" applyAlignment="1" applyProtection="1">
      <alignment horizontal="center" vertical="center" wrapText="1"/>
      <protection hidden="1"/>
    </xf>
    <xf numFmtId="1" fontId="6" fillId="2" borderId="8" xfId="0" applyNumberFormat="1" applyFont="1" applyFill="1" applyBorder="1" applyAlignment="1" applyProtection="1">
      <alignment horizontal="center" vertical="center" wrapText="1"/>
      <protection hidden="1"/>
    </xf>
    <xf numFmtId="1" fontId="6" fillId="2" borderId="31" xfId="0" applyNumberFormat="1" applyFont="1" applyFill="1" applyBorder="1" applyAlignment="1" applyProtection="1">
      <alignment horizontal="center" vertical="center" wrapText="1"/>
      <protection hidden="1"/>
    </xf>
    <xf numFmtId="165" fontId="0" fillId="0" borderId="92" xfId="0" applyNumberFormat="1" applyBorder="1" applyAlignment="1" applyProtection="1">
      <alignment horizontal="right" vertical="center" indent="2"/>
      <protection hidden="1"/>
    </xf>
    <xf numFmtId="165" fontId="0" fillId="0" borderId="93" xfId="0" applyNumberFormat="1" applyBorder="1" applyAlignment="1" applyProtection="1">
      <alignment horizontal="right" vertical="center" indent="2"/>
      <protection hidden="1"/>
    </xf>
    <xf numFmtId="0" fontId="0" fillId="3" borderId="39" xfId="0" applyFill="1" applyBorder="1" applyAlignment="1" applyProtection="1">
      <alignment horizontal="left" vertical="center" indent="6"/>
      <protection hidden="1"/>
    </xf>
    <xf numFmtId="0" fontId="0" fillId="3" borderId="40" xfId="0" applyFill="1" applyBorder="1" applyAlignment="1" applyProtection="1">
      <alignment horizontal="left" vertical="center" indent="6"/>
      <protection hidden="1"/>
    </xf>
    <xf numFmtId="0" fontId="0" fillId="3" borderId="38" xfId="0" applyFill="1" applyBorder="1" applyAlignment="1" applyProtection="1">
      <alignment horizontal="left" vertical="center" indent="6"/>
      <protection hidden="1"/>
    </xf>
    <xf numFmtId="165" fontId="0" fillId="3" borderId="27" xfId="0" applyNumberFormat="1" applyFill="1" applyBorder="1" applyAlignment="1" applyProtection="1">
      <alignment horizontal="right" vertical="center" indent="2"/>
      <protection hidden="1"/>
    </xf>
    <xf numFmtId="165" fontId="0" fillId="3" borderId="28" xfId="0" applyNumberFormat="1" applyFill="1" applyBorder="1" applyAlignment="1" applyProtection="1">
      <alignment horizontal="right" vertical="center" indent="2"/>
      <protection hidden="1"/>
    </xf>
    <xf numFmtId="165" fontId="28" fillId="10" borderId="8" xfId="0" quotePrefix="1" applyNumberFormat="1" applyFont="1" applyFill="1" applyBorder="1" applyAlignment="1" applyProtection="1">
      <alignment horizontal="center" vertical="center" wrapText="1"/>
      <protection hidden="1"/>
    </xf>
    <xf numFmtId="167" fontId="28" fillId="3" borderId="8" xfId="1" applyNumberFormat="1" applyFont="1" applyFill="1" applyBorder="1" applyAlignment="1" applyProtection="1">
      <alignment horizontal="center" vertical="center"/>
      <protection hidden="1"/>
    </xf>
    <xf numFmtId="165" fontId="0" fillId="3" borderId="70" xfId="0" applyNumberFormat="1" applyFill="1" applyBorder="1" applyAlignment="1" applyProtection="1">
      <alignment horizontal="right" vertical="center" indent="2"/>
      <protection hidden="1"/>
    </xf>
    <xf numFmtId="165" fontId="0" fillId="3" borderId="57" xfId="0" applyNumberFormat="1" applyFill="1" applyBorder="1" applyAlignment="1" applyProtection="1">
      <alignment horizontal="right" vertical="center" indent="2"/>
      <protection hidden="1"/>
    </xf>
    <xf numFmtId="165" fontId="0" fillId="3" borderId="71" xfId="0" applyNumberFormat="1" applyFill="1" applyBorder="1" applyAlignment="1" applyProtection="1">
      <alignment horizontal="right" vertical="center" indent="2"/>
      <protection hidden="1"/>
    </xf>
    <xf numFmtId="0" fontId="0" fillId="3" borderId="41" xfId="0" applyFill="1" applyBorder="1" applyAlignment="1" applyProtection="1">
      <alignment horizontal="left" vertical="center" indent="6"/>
      <protection hidden="1"/>
    </xf>
    <xf numFmtId="0" fontId="0" fillId="3" borderId="10" xfId="0" applyFill="1" applyBorder="1" applyAlignment="1" applyProtection="1">
      <alignment horizontal="left" vertical="center" indent="6"/>
      <protection hidden="1"/>
    </xf>
    <xf numFmtId="0" fontId="0" fillId="3" borderId="11" xfId="0" applyFill="1" applyBorder="1" applyAlignment="1" applyProtection="1">
      <alignment horizontal="left" vertical="center" indent="6"/>
      <protection hidden="1"/>
    </xf>
    <xf numFmtId="0" fontId="0" fillId="8" borderId="86" xfId="0" applyFill="1" applyBorder="1" applyAlignment="1" applyProtection="1">
      <alignment horizontal="left" vertical="center" indent="3"/>
      <protection hidden="1"/>
    </xf>
    <xf numFmtId="0" fontId="0" fillId="8" borderId="49" xfId="0" applyFill="1" applyBorder="1" applyAlignment="1" applyProtection="1">
      <alignment horizontal="left" vertical="center" indent="3"/>
      <protection hidden="1"/>
    </xf>
    <xf numFmtId="0" fontId="0" fillId="3" borderId="56" xfId="0" applyFill="1" applyBorder="1" applyAlignment="1" applyProtection="1">
      <alignment horizontal="left" vertical="center" indent="6"/>
      <protection hidden="1"/>
    </xf>
    <xf numFmtId="0" fontId="0" fillId="3" borderId="57" xfId="0" applyFill="1" applyBorder="1" applyAlignment="1" applyProtection="1">
      <alignment horizontal="left" vertical="center" indent="6"/>
      <protection hidden="1"/>
    </xf>
    <xf numFmtId="0" fontId="0" fillId="3" borderId="48" xfId="0" applyFill="1" applyBorder="1" applyAlignment="1" applyProtection="1">
      <alignment horizontal="left" vertical="center" indent="6"/>
      <protection hidden="1"/>
    </xf>
    <xf numFmtId="165" fontId="34" fillId="7" borderId="62" xfId="0" applyNumberFormat="1" applyFont="1" applyFill="1" applyBorder="1" applyAlignment="1" applyProtection="1">
      <alignment horizontal="right" vertical="center" indent="1"/>
      <protection hidden="1"/>
    </xf>
    <xf numFmtId="0" fontId="3" fillId="3" borderId="13" xfId="0" applyFont="1" applyFill="1" applyBorder="1" applyAlignment="1" applyProtection="1">
      <alignment horizontal="left" vertical="center" wrapText="1"/>
      <protection hidden="1"/>
    </xf>
    <xf numFmtId="0" fontId="29" fillId="3" borderId="0" xfId="0" applyFont="1" applyFill="1" applyBorder="1" applyAlignment="1" applyProtection="1">
      <alignment horizontal="left" vertical="top" wrapText="1"/>
      <protection hidden="1"/>
    </xf>
    <xf numFmtId="0" fontId="3" fillId="3" borderId="41" xfId="0" applyFont="1" applyFill="1" applyBorder="1" applyAlignment="1" applyProtection="1">
      <alignment horizontal="left" vertical="center" indent="3"/>
      <protection hidden="1"/>
    </xf>
    <xf numFmtId="0" fontId="3" fillId="3" borderId="10" xfId="0" applyFont="1" applyFill="1" applyBorder="1" applyAlignment="1" applyProtection="1">
      <alignment horizontal="left" vertical="center" indent="3"/>
      <protection hidden="1"/>
    </xf>
    <xf numFmtId="0" fontId="3" fillId="0" borderId="72" xfId="0" applyFont="1" applyBorder="1" applyAlignment="1" applyProtection="1">
      <alignment horizontal="left" vertical="center" indent="1"/>
      <protection hidden="1"/>
    </xf>
    <xf numFmtId="0" fontId="3" fillId="0" borderId="73" xfId="0" applyFont="1" applyBorder="1" applyAlignment="1" applyProtection="1">
      <alignment horizontal="left" vertical="center" indent="1"/>
      <protection hidden="1"/>
    </xf>
    <xf numFmtId="0" fontId="3" fillId="0" borderId="74" xfId="0" applyFont="1" applyBorder="1" applyAlignment="1" applyProtection="1">
      <alignment horizontal="left" vertical="center" indent="1"/>
      <protection hidden="1"/>
    </xf>
    <xf numFmtId="0" fontId="3" fillId="8" borderId="89" xfId="0" applyFont="1" applyFill="1" applyBorder="1" applyAlignment="1" applyProtection="1">
      <alignment horizontal="left" vertical="center" indent="1"/>
      <protection hidden="1"/>
    </xf>
    <xf numFmtId="0" fontId="3" fillId="8" borderId="90" xfId="0" applyFont="1" applyFill="1" applyBorder="1" applyAlignment="1" applyProtection="1">
      <alignment horizontal="left" vertical="center" indent="1"/>
      <protection hidden="1"/>
    </xf>
    <xf numFmtId="0" fontId="3" fillId="8" borderId="91" xfId="0" applyFont="1" applyFill="1" applyBorder="1" applyAlignment="1" applyProtection="1">
      <alignment horizontal="left" vertical="center" indent="1"/>
      <protection hidden="1"/>
    </xf>
    <xf numFmtId="0" fontId="3" fillId="3" borderId="61" xfId="0" applyFont="1" applyFill="1" applyBorder="1" applyAlignment="1" applyProtection="1">
      <alignment horizontal="left" vertical="center" indent="3"/>
      <protection hidden="1"/>
    </xf>
    <xf numFmtId="0" fontId="3" fillId="3" borderId="75" xfId="0" applyFont="1" applyFill="1" applyBorder="1" applyAlignment="1" applyProtection="1">
      <alignment horizontal="left" vertical="center" indent="3"/>
      <protection hidden="1"/>
    </xf>
    <xf numFmtId="165" fontId="6" fillId="14" borderId="85" xfId="0" applyNumberFormat="1" applyFont="1" applyFill="1" applyBorder="1" applyAlignment="1" applyProtection="1">
      <alignment horizontal="right" vertical="center" indent="2"/>
      <protection hidden="1"/>
    </xf>
    <xf numFmtId="165" fontId="6" fillId="14" borderId="82" xfId="0" applyNumberFormat="1" applyFont="1" applyFill="1" applyBorder="1" applyAlignment="1" applyProtection="1">
      <alignment horizontal="right" vertical="center" indent="2"/>
      <protection hidden="1"/>
    </xf>
    <xf numFmtId="0" fontId="3" fillId="0" borderId="89" xfId="0" applyFont="1" applyBorder="1" applyAlignment="1" applyProtection="1">
      <alignment horizontal="left" vertical="center" indent="1"/>
      <protection hidden="1"/>
    </xf>
    <xf numFmtId="0" fontId="3" fillId="0" borderId="90" xfId="0" applyFont="1" applyBorder="1" applyAlignment="1" applyProtection="1">
      <alignment horizontal="left" vertical="center" indent="1"/>
      <protection hidden="1"/>
    </xf>
    <xf numFmtId="0" fontId="3" fillId="0" borderId="91" xfId="0" applyFont="1" applyBorder="1" applyAlignment="1" applyProtection="1">
      <alignment horizontal="left" vertical="center" indent="1"/>
      <protection hidden="1"/>
    </xf>
    <xf numFmtId="0" fontId="36" fillId="18" borderId="96" xfId="0" applyFont="1" applyFill="1" applyBorder="1" applyAlignment="1" applyProtection="1">
      <alignment horizontal="center" vertical="center"/>
      <protection hidden="1"/>
    </xf>
    <xf numFmtId="0" fontId="36" fillId="18" borderId="90" xfId="0" applyFont="1" applyFill="1" applyBorder="1" applyAlignment="1" applyProtection="1">
      <alignment horizontal="center" vertical="center"/>
      <protection hidden="1"/>
    </xf>
    <xf numFmtId="0" fontId="36" fillId="18" borderId="97" xfId="0"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wrapText="1"/>
      <protection hidden="1"/>
    </xf>
    <xf numFmtId="0" fontId="3" fillId="7" borderId="10" xfId="0" applyFont="1" applyFill="1" applyBorder="1" applyAlignment="1" applyProtection="1">
      <alignment horizontal="center" vertical="center" wrapText="1"/>
      <protection hidden="1"/>
    </xf>
    <xf numFmtId="0" fontId="3" fillId="7" borderId="11" xfId="0" applyFont="1" applyFill="1" applyBorder="1" applyAlignment="1" applyProtection="1">
      <alignment horizontal="center" vertical="center" wrapText="1"/>
      <protection hidden="1"/>
    </xf>
    <xf numFmtId="0" fontId="5" fillId="7" borderId="63" xfId="0" applyFont="1" applyFill="1" applyBorder="1" applyAlignment="1" applyProtection="1">
      <alignment horizontal="center" vertical="center"/>
      <protection hidden="1"/>
    </xf>
    <xf numFmtId="0" fontId="6" fillId="7" borderId="66" xfId="0" applyFont="1" applyFill="1" applyBorder="1" applyAlignment="1" applyProtection="1">
      <alignment horizontal="center" vertical="center" wrapText="1"/>
      <protection hidden="1"/>
    </xf>
    <xf numFmtId="0" fontId="6" fillId="7" borderId="68" xfId="0" applyFont="1" applyFill="1" applyBorder="1" applyAlignment="1" applyProtection="1">
      <alignment horizontal="center" vertical="center" wrapText="1"/>
      <protection hidden="1"/>
    </xf>
    <xf numFmtId="0" fontId="5" fillId="7" borderId="64" xfId="0" applyFont="1" applyFill="1" applyBorder="1" applyAlignment="1" applyProtection="1">
      <alignment horizontal="center" vertical="center"/>
      <protection hidden="1"/>
    </xf>
    <xf numFmtId="0" fontId="6" fillId="7" borderId="1" xfId="0" applyFont="1" applyFill="1" applyBorder="1" applyAlignment="1" applyProtection="1">
      <alignment horizontal="center" vertical="center" wrapText="1"/>
      <protection hidden="1"/>
    </xf>
    <xf numFmtId="0" fontId="6" fillId="7" borderId="37" xfId="0" applyFont="1" applyFill="1" applyBorder="1" applyAlignment="1" applyProtection="1">
      <alignment horizontal="center" vertical="center" wrapText="1"/>
      <protection hidden="1"/>
    </xf>
    <xf numFmtId="1" fontId="5" fillId="7" borderId="64" xfId="0" applyNumberFormat="1" applyFont="1" applyFill="1" applyBorder="1" applyAlignment="1" applyProtection="1">
      <alignment horizontal="center" vertical="center"/>
      <protection hidden="1"/>
    </xf>
    <xf numFmtId="1" fontId="6" fillId="7" borderId="1" xfId="0" applyNumberFormat="1" applyFont="1" applyFill="1" applyBorder="1" applyAlignment="1" applyProtection="1">
      <alignment horizontal="center" vertical="center" wrapText="1"/>
      <protection hidden="1"/>
    </xf>
    <xf numFmtId="1" fontId="6" fillId="7" borderId="37" xfId="0" applyNumberFormat="1" applyFont="1" applyFill="1" applyBorder="1" applyAlignment="1" applyProtection="1">
      <alignment horizontal="center" vertical="center" wrapText="1"/>
      <protection hidden="1"/>
    </xf>
    <xf numFmtId="165" fontId="5" fillId="7" borderId="64" xfId="0" applyNumberFormat="1" applyFont="1" applyFill="1" applyBorder="1" applyAlignment="1" applyProtection="1">
      <alignment horizontal="center" vertical="center" wrapText="1"/>
      <protection hidden="1"/>
    </xf>
    <xf numFmtId="165" fontId="6" fillId="7" borderId="1" xfId="0" applyNumberFormat="1" applyFont="1" applyFill="1" applyBorder="1" applyAlignment="1" applyProtection="1">
      <alignment horizontal="center" vertical="center" wrapText="1"/>
      <protection hidden="1"/>
    </xf>
    <xf numFmtId="165" fontId="6" fillId="7" borderId="37" xfId="0" applyNumberFormat="1" applyFont="1" applyFill="1" applyBorder="1" applyAlignment="1" applyProtection="1">
      <alignment horizontal="center" vertical="center" wrapText="1"/>
      <protection hidden="1"/>
    </xf>
    <xf numFmtId="1" fontId="4" fillId="0" borderId="3" xfId="0" applyNumberFormat="1"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25" fillId="3" borderId="7" xfId="0" applyFont="1" applyFill="1" applyBorder="1" applyAlignment="1" applyProtection="1">
      <alignment horizontal="left" vertical="center"/>
      <protection hidden="1"/>
    </xf>
    <xf numFmtId="0" fontId="25" fillId="3" borderId="0" xfId="0" applyFont="1" applyFill="1" applyBorder="1" applyAlignment="1" applyProtection="1">
      <alignment horizontal="left" vertical="center"/>
      <protection hidden="1"/>
    </xf>
    <xf numFmtId="165" fontId="5" fillId="7" borderId="64" xfId="0" applyNumberFormat="1" applyFont="1" applyFill="1" applyBorder="1" applyAlignment="1" applyProtection="1">
      <alignment horizontal="center" vertical="center"/>
      <protection hidden="1"/>
    </xf>
    <xf numFmtId="165" fontId="5" fillId="7" borderId="65" xfId="0" applyNumberFormat="1" applyFont="1" applyFill="1" applyBorder="1" applyAlignment="1" applyProtection="1">
      <alignment horizontal="center" vertical="center" wrapText="1"/>
      <protection hidden="1"/>
    </xf>
    <xf numFmtId="165" fontId="6" fillId="7" borderId="67" xfId="0" applyNumberFormat="1" applyFont="1" applyFill="1" applyBorder="1" applyAlignment="1" applyProtection="1">
      <alignment horizontal="center" vertical="center" wrapText="1"/>
      <protection hidden="1"/>
    </xf>
    <xf numFmtId="165" fontId="6" fillId="7" borderId="69" xfId="0" applyNumberFormat="1" applyFont="1" applyFill="1" applyBorder="1" applyAlignment="1" applyProtection="1">
      <alignment horizontal="center" vertical="center" wrapText="1"/>
      <protection hidden="1"/>
    </xf>
    <xf numFmtId="0" fontId="12" fillId="17" borderId="41" xfId="0" applyFont="1" applyFill="1" applyBorder="1" applyAlignment="1" applyProtection="1">
      <alignment horizontal="left" vertical="center" indent="1"/>
      <protection hidden="1"/>
    </xf>
    <xf numFmtId="0" fontId="12" fillId="17" borderId="10" xfId="0" applyFont="1" applyFill="1" applyBorder="1" applyAlignment="1" applyProtection="1">
      <alignment horizontal="left" vertical="center" indent="1"/>
      <protection hidden="1"/>
    </xf>
    <xf numFmtId="165" fontId="3" fillId="3" borderId="70" xfId="0" applyNumberFormat="1" applyFont="1" applyFill="1" applyBorder="1" applyAlignment="1" applyProtection="1">
      <alignment horizontal="right" vertical="center" indent="2"/>
      <protection hidden="1"/>
    </xf>
    <xf numFmtId="165" fontId="3" fillId="3" borderId="71" xfId="0" applyNumberFormat="1" applyFont="1" applyFill="1" applyBorder="1" applyAlignment="1" applyProtection="1">
      <alignment horizontal="right" vertical="center" indent="2"/>
      <protection hidden="1"/>
    </xf>
    <xf numFmtId="0" fontId="3" fillId="8" borderId="41" xfId="0" applyFont="1" applyFill="1" applyBorder="1" applyAlignment="1" applyProtection="1">
      <alignment horizontal="left" vertical="center" indent="1"/>
      <protection hidden="1"/>
    </xf>
    <xf numFmtId="0" fontId="3" fillId="8" borderId="10" xfId="0" applyFont="1" applyFill="1" applyBorder="1" applyAlignment="1" applyProtection="1">
      <alignment horizontal="left" vertical="center" indent="1"/>
      <protection hidden="1"/>
    </xf>
    <xf numFmtId="0" fontId="3" fillId="8" borderId="11" xfId="0" applyFont="1" applyFill="1" applyBorder="1" applyAlignment="1" applyProtection="1">
      <alignment horizontal="left" vertical="center" indent="1"/>
      <protection hidden="1"/>
    </xf>
    <xf numFmtId="0" fontId="3" fillId="3" borderId="56" xfId="0" applyFont="1" applyFill="1" applyBorder="1" applyAlignment="1" applyProtection="1">
      <alignment horizontal="left" vertical="center" indent="1"/>
      <protection hidden="1"/>
    </xf>
    <xf numFmtId="0" fontId="3" fillId="3" borderId="57" xfId="0" applyFont="1" applyFill="1" applyBorder="1" applyAlignment="1" applyProtection="1">
      <alignment horizontal="left" vertical="center" indent="1"/>
      <protection hidden="1"/>
    </xf>
    <xf numFmtId="0" fontId="3" fillId="3" borderId="48" xfId="0" applyFont="1" applyFill="1" applyBorder="1" applyAlignment="1" applyProtection="1">
      <alignment horizontal="left" vertical="center" indent="1"/>
      <protection hidden="1"/>
    </xf>
    <xf numFmtId="0" fontId="3" fillId="3" borderId="39" xfId="0" applyFont="1" applyFill="1" applyBorder="1" applyAlignment="1" applyProtection="1">
      <alignment horizontal="left" vertical="center" indent="1"/>
      <protection hidden="1"/>
    </xf>
    <xf numFmtId="0" fontId="3" fillId="3" borderId="40" xfId="0" applyFont="1" applyFill="1" applyBorder="1" applyAlignment="1" applyProtection="1">
      <alignment horizontal="left" vertical="center" indent="1"/>
      <protection hidden="1"/>
    </xf>
    <xf numFmtId="0" fontId="3" fillId="3" borderId="38" xfId="0" applyFont="1" applyFill="1" applyBorder="1" applyAlignment="1" applyProtection="1">
      <alignment horizontal="left" vertical="center" indent="1"/>
      <protection hidden="1"/>
    </xf>
    <xf numFmtId="165" fontId="3" fillId="3" borderId="53" xfId="0" applyNumberFormat="1" applyFont="1" applyFill="1" applyBorder="1" applyAlignment="1" applyProtection="1">
      <alignment horizontal="right" vertical="center" indent="2"/>
      <protection hidden="1"/>
    </xf>
    <xf numFmtId="165" fontId="3" fillId="3" borderId="54" xfId="0" applyNumberFormat="1" applyFont="1" applyFill="1" applyBorder="1" applyAlignment="1" applyProtection="1">
      <alignment horizontal="right" vertical="center" indent="2"/>
      <protection hidden="1"/>
    </xf>
  </cellXfs>
  <cellStyles count="8">
    <cellStyle name="Currency" xfId="5" builtinId="4"/>
    <cellStyle name="Currency 2" xfId="3" xr:uid="{EEE9D913-0377-439B-9FB2-4558DC9F454C}"/>
    <cellStyle name="Currency 3" xfId="7" xr:uid="{5E1DD2EE-8A58-4DBD-B62C-E1D155D61205}"/>
    <cellStyle name="Normal" xfId="0" builtinId="0"/>
    <cellStyle name="Normal 2" xfId="2" xr:uid="{C2727015-0146-4669-912F-02624FF74B59}"/>
    <cellStyle name="Normal 3" xfId="6" xr:uid="{6BB39C4F-2B2C-43D7-9E1A-F37FE2CCF8F6}"/>
    <cellStyle name="Percent" xfId="1" builtinId="5"/>
    <cellStyle name="Percent 2" xfId="4" xr:uid="{88AE0D89-5ACB-454F-AFF1-44FE6AF276F9}"/>
  </cellStyles>
  <dxfs count="136">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dxf>
    <dxf>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fill>
        <patternFill patternType="solid">
          <fgColor indexed="64"/>
          <bgColor rgb="FFFFFF00"/>
        </patternFill>
      </fill>
    </dxf>
    <dxf>
      <font>
        <b val="0"/>
        <i val="0"/>
        <strike val="0"/>
        <condense val="0"/>
        <extend val="0"/>
        <outline val="0"/>
        <shadow val="0"/>
        <u val="none"/>
        <vertAlign val="baseline"/>
        <sz val="11"/>
        <color rgb="FF000000"/>
        <name val="Aptos Narrow"/>
        <family val="2"/>
        <scheme val="none"/>
      </font>
      <fill>
        <patternFill patternType="solid">
          <fgColor indexed="64"/>
          <bgColor rgb="FFFFFF00"/>
        </patternFill>
      </fill>
    </dxf>
    <dxf>
      <font>
        <b val="0"/>
        <i val="0"/>
        <strike val="0"/>
        <condense val="0"/>
        <extend val="0"/>
        <outline val="0"/>
        <shadow val="0"/>
        <u val="none"/>
        <vertAlign val="baseline"/>
        <sz val="11"/>
        <color rgb="FF000000"/>
        <name val="Aptos Narrow"/>
        <family val="2"/>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font>
        <b val="0"/>
        <i val="0"/>
        <strike val="0"/>
        <condense val="0"/>
        <extend val="0"/>
        <outline val="0"/>
        <shadow val="0"/>
        <u val="none"/>
        <vertAlign val="baseline"/>
        <sz val="11"/>
        <color theme="0"/>
        <name val="Calibri"/>
        <family val="2"/>
        <scheme val="none"/>
      </font>
      <numFmt numFmtId="0" formatCode="General"/>
      <fill>
        <patternFill patternType="solid">
          <fgColor indexed="64"/>
          <bgColor theme="2" tint="-0.749992370372631"/>
        </patternFill>
      </fill>
    </dxf>
    <dxf>
      <font>
        <strike val="0"/>
        <outline val="0"/>
        <shadow val="0"/>
        <u val="none"/>
        <vertAlign val="baseline"/>
        <sz val="11"/>
        <color theme="0"/>
        <name val="Calibri"/>
        <family val="2"/>
        <scheme val="none"/>
      </font>
      <numFmt numFmtId="0" formatCode="General"/>
      <fill>
        <patternFill patternType="solid">
          <fgColor indexed="64"/>
          <bgColor theme="2" tint="-0.749992370372631"/>
        </patternFill>
      </fill>
    </dxf>
    <dxf>
      <font>
        <strike val="0"/>
        <outline val="0"/>
        <shadow val="0"/>
        <u val="none"/>
        <vertAlign val="baseline"/>
        <sz val="11"/>
        <color theme="0"/>
        <name val="Calibri"/>
        <family val="2"/>
        <scheme val="none"/>
      </font>
      <numFmt numFmtId="0" formatCode="General"/>
      <fill>
        <patternFill patternType="solid">
          <fgColor indexed="64"/>
          <bgColor theme="2" tint="-0.749992370372631"/>
        </patternFill>
      </fill>
    </dxf>
    <dxf>
      <numFmt numFmtId="34" formatCode="_(&quot;$&quot;* #,##0.00_);_(&quot;$&quot;* \(#,##0.00\);_(&quot;$&quot;* &quot;-&quot;??_);_(@_)"/>
      <fill>
        <patternFill patternType="solid">
          <fgColor indexed="64"/>
          <bgColor theme="9" tint="0.79998168889431442"/>
        </patternFill>
      </fill>
    </dxf>
    <dxf>
      <numFmt numFmtId="34" formatCode="_(&quot;$&quot;* #,##0.00_);_(&quot;$&quot;* \(#,##0.00\);_(&quot;$&quot;* &quot;-&quot;??_);_(@_)"/>
      <fill>
        <patternFill patternType="solid">
          <fgColor indexed="64"/>
          <bgColor theme="9" tint="0.79998168889431442"/>
        </patternFill>
      </fill>
    </dxf>
    <dxf>
      <fill>
        <patternFill patternType="solid">
          <fgColor indexed="64"/>
          <bgColor theme="9" tint="0.79998168889431442"/>
        </patternFill>
      </fill>
      <border diagonalUp="0" diagonalDown="0" outline="0">
        <left style="thick">
          <color indexed="64"/>
        </left>
        <right/>
        <top/>
        <bottom/>
      </border>
    </dxf>
    <dxf>
      <fill>
        <patternFill patternType="solid">
          <fgColor indexed="64"/>
          <bgColor rgb="FFFFFFCC"/>
        </patternFill>
      </fill>
      <alignment horizontal="center" vertical="bottom" textRotation="0" wrapText="0" indent="0" justifyLastLine="0" shrinkToFit="0" readingOrder="0"/>
      <border diagonalUp="0" diagonalDown="0">
        <left/>
        <right style="thick">
          <color indexed="64"/>
        </right>
        <top/>
        <bottom/>
        <vertical/>
        <horizontal/>
      </border>
    </dxf>
    <dxf>
      <fill>
        <patternFill patternType="solid">
          <fgColor indexed="64"/>
          <bgColor rgb="FFFFFFCC"/>
        </patternFill>
      </fill>
      <alignment horizontal="center" vertical="bottom" textRotation="0" wrapText="0" indent="0" justifyLastLine="0" shrinkToFit="0" readingOrder="0"/>
    </dxf>
    <dxf>
      <fill>
        <patternFill patternType="solid">
          <fgColor indexed="64"/>
          <bgColor rgb="FFFFFFCC"/>
        </patternFill>
      </fill>
      <alignment horizontal="center" vertical="bottom" textRotation="0" wrapText="0" indent="0" justifyLastLine="0" shrinkToFit="0" readingOrder="0"/>
      <border diagonalUp="0" diagonalDown="0" outline="0">
        <left style="thick">
          <color indexed="64"/>
        </left>
        <right/>
        <top/>
        <bottom/>
      </border>
    </dxf>
    <dxf>
      <alignment horizontal="center" vertical="bottom" textRotation="0" wrapText="0" indent="0" justifyLastLine="0" shrinkToFit="0" readingOrder="0"/>
      <border diagonalUp="0" diagonalDown="0" outline="0">
        <left/>
        <right style="thick">
          <color indexed="64"/>
        </right>
        <top/>
        <bottom/>
      </border>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border diagonalUp="0" diagonalDown="0" outline="0">
        <left style="thick">
          <color indexed="64"/>
        </left>
        <right/>
        <top/>
        <bottom/>
      </border>
    </dxf>
    <dxf>
      <font>
        <color theme="0" tint="-0.24994659260841701"/>
      </font>
      <fill>
        <patternFill>
          <bgColor theme="0" tint="-0.24994659260841701"/>
        </patternFill>
      </fill>
    </dxf>
    <dxf>
      <fill>
        <patternFill>
          <bgColor theme="0" tint="-0.24994659260841701"/>
        </patternFill>
      </fill>
    </dxf>
    <dxf>
      <font>
        <color theme="0" tint="-0.34998626667073579"/>
      </font>
    </dxf>
    <dxf>
      <font>
        <u val="none"/>
        <color theme="0" tint="-0.34998626667073579"/>
      </font>
    </dxf>
    <dxf>
      <font>
        <color theme="0" tint="-0.14996795556505021"/>
      </font>
      <fill>
        <patternFill>
          <bgColor theme="0" tint="-0.14996795556505021"/>
        </patternFill>
      </fill>
    </dxf>
    <dxf>
      <fill>
        <patternFill>
          <bgColor theme="9" tint="0.79998168889431442"/>
        </patternFill>
      </fill>
    </dxf>
    <dxf>
      <font>
        <color theme="0" tint="-0.499984740745262"/>
      </font>
    </dxf>
    <dxf>
      <font>
        <color theme="0" tint="-0.34998626667073579"/>
      </font>
    </dxf>
    <dxf>
      <font>
        <u val="none"/>
        <color theme="0" tint="-0.34998626667073579"/>
      </font>
    </dxf>
    <dxf>
      <fill>
        <patternFill>
          <bgColor theme="9" tint="0.79998168889431442"/>
        </patternFill>
      </fill>
    </dxf>
    <dxf>
      <font>
        <color theme="0"/>
      </font>
    </dxf>
    <dxf>
      <font>
        <color theme="0"/>
      </font>
    </dxf>
    <dxf>
      <font>
        <b/>
        <i val="0"/>
      </font>
      <fill>
        <patternFill>
          <bgColor theme="0" tint="-4.9989318521683403E-2"/>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8C774E40-5CD8-4D81-89C6-7C48AE3E006F}">
      <tableStyleElement type="wholeTable" dxfId="135"/>
      <tableStyleElement type="headerRow" dxfId="134"/>
    </tableStyle>
  </tableStyles>
  <colors>
    <mruColors>
      <color rgb="FF7E58AE"/>
      <color rgb="FFF5EBFF"/>
      <color rgb="FFFFFFCC"/>
      <color rgb="FFF9F3FF"/>
      <color rgb="FFFED6F4"/>
      <color rgb="FFD8CDE7"/>
      <color rgb="FFFFC0CB"/>
      <color rgb="FFFF99FF"/>
      <color rgb="FF99CCFF"/>
      <color rgb="FFDEB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06/relationships/vbaProject" Target="vbaProject.bin"/></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204789</xdr:colOff>
      <xdr:row>0</xdr:row>
      <xdr:rowOff>0</xdr:rowOff>
    </xdr:from>
    <xdr:to>
      <xdr:col>5</xdr:col>
      <xdr:colOff>42225</xdr:colOff>
      <xdr:row>1</xdr:row>
      <xdr:rowOff>1494</xdr:rowOff>
    </xdr:to>
    <xdr:pic>
      <xdr:nvPicPr>
        <xdr:cNvPr id="2" name="Picture 1">
          <a:extLst>
            <a:ext uri="{FF2B5EF4-FFF2-40B4-BE49-F238E27FC236}">
              <a16:creationId xmlns:a16="http://schemas.microsoft.com/office/drawing/2014/main" id="{D1F15843-BD38-4633-99EA-282459E82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0070" y="0"/>
          <a:ext cx="2091531" cy="846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228600</xdr:colOff>
      <xdr:row>1</xdr:row>
      <xdr:rowOff>200025</xdr:rowOff>
    </xdr:from>
    <xdr:to>
      <xdr:col>8</xdr:col>
      <xdr:colOff>644525</xdr:colOff>
      <xdr:row>5</xdr:row>
      <xdr:rowOff>92075</xdr:rowOff>
    </xdr:to>
    <xdr:pic>
      <xdr:nvPicPr>
        <xdr:cNvPr id="2" name="Picture 1">
          <a:extLst>
            <a:ext uri="{FF2B5EF4-FFF2-40B4-BE49-F238E27FC236}">
              <a16:creationId xmlns:a16="http://schemas.microsoft.com/office/drawing/2014/main" id="{B693FB82-CC6E-4414-ABFB-A391C3E4E8B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2178"/>
        <a:stretch/>
      </xdr:blipFill>
      <xdr:spPr>
        <a:xfrm>
          <a:off x="4419600" y="384175"/>
          <a:ext cx="1406525" cy="711200"/>
        </a:xfrm>
        <a:prstGeom prst="rect">
          <a:avLst/>
        </a:prstGeom>
      </xdr:spPr>
    </xdr:pic>
    <xdr:clientData/>
  </xdr:twoCellAnchor>
  <xdr:twoCellAnchor>
    <xdr:from>
      <xdr:col>9</xdr:col>
      <xdr:colOff>603250</xdr:colOff>
      <xdr:row>0</xdr:row>
      <xdr:rowOff>148168</xdr:rowOff>
    </xdr:from>
    <xdr:to>
      <xdr:col>11</xdr:col>
      <xdr:colOff>497416</xdr:colOff>
      <xdr:row>2</xdr:row>
      <xdr:rowOff>105835</xdr:rowOff>
    </xdr:to>
    <xdr:sp macro="[0]!print_SUM" textlink="">
      <xdr:nvSpPr>
        <xdr:cNvPr id="3" name="Rectangle: Rounded Corners 2">
          <a:extLst>
            <a:ext uri="{FF2B5EF4-FFF2-40B4-BE49-F238E27FC236}">
              <a16:creationId xmlns:a16="http://schemas.microsoft.com/office/drawing/2014/main" id="{D0704267-F985-0C92-EC50-54FCE2E867C2}"/>
            </a:ext>
          </a:extLst>
        </xdr:cNvPr>
        <xdr:cNvSpPr/>
      </xdr:nvSpPr>
      <xdr:spPr>
        <a:xfrm>
          <a:off x="7630583" y="148168"/>
          <a:ext cx="1121833" cy="412750"/>
        </a:xfrm>
        <a:prstGeom prst="round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EXPORT</a:t>
          </a:r>
          <a:r>
            <a:rPr lang="en-US" sz="1200" b="1" baseline="0"/>
            <a:t> PDF</a:t>
          </a:r>
          <a:endParaRPr lang="en-US" sz="1200" b="1"/>
        </a:p>
      </xdr:txBody>
    </xdr:sp>
    <xdr:clientData/>
  </xdr:twoCellAnchor>
</xdr:wsDr>
</file>

<file path=xl/persons/person.xml><?xml version="1.0" encoding="utf-8"?>
<personList xmlns="http://schemas.microsoft.com/office/spreadsheetml/2018/threadedcomments" xmlns:x="http://schemas.openxmlformats.org/spreadsheetml/2006/main">
  <person displayName="Chad Noyes" id="{4255E54B-AE55-4179-B1C1-FBE5CECF8D24}" userId="S::chad.noyes@envu.com::a5196a81-30e4-438b-b368-dffccbe8f8d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77EB9E-A63E-465B-ACA4-4E7B73E9AF24}" name="Rebate_Lookup" displayName="Rebate_Lookup" ref="B2:P83" totalsRowShown="0">
  <autoFilter ref="B2:P83" xr:uid="{B477EB9E-A63E-465B-ACA4-4E7B73E9AF24}"/>
  <tableColumns count="15">
    <tableColumn id="1" xr3:uid="{D30503F9-C8A9-4D80-9F06-EF75A81A1FF7}" name="SKU CODE" dataDxfId="121"/>
    <tableColumn id="12" xr3:uid="{F4FB0241-59C3-4F5E-B701-361788AE8F18}" name="Agency/TT" dataDxfId="120">
      <calculatedColumnFormula>INDEX(PRICING[Agency/TT],MATCH(Rebate_Lookup[[#This Row],[SKU CODE]],PRICING[SKU],0))</calculatedColumnFormula>
    </tableColumn>
    <tableColumn id="2" xr3:uid="{EF0942D5-A710-450B-ADF7-8F51ACC36A90}" name="Description">
      <calculatedColumnFormula>INDEX(PRICING[Product],MATCH(B3,PRICING[SKU],0))</calculatedColumnFormula>
    </tableColumn>
    <tableColumn id="7" xr3:uid="{B629115B-3014-42B7-972C-29EE8E43D7CE}" name="Size">
      <calculatedColumnFormula>INDEX(PRICING[Size],MATCH(Rebate_Lookup[[#This Row],[SKU CODE]],PRICING[SKU],0))</calculatedColumnFormula>
    </tableColumn>
    <tableColumn id="3" xr3:uid="{A276B0F5-F172-418B-8B28-7BC0B7EE7E6F}" name="Instances" dataDxfId="119">
      <calculatedColumnFormula>COUNTIFS(PRICING[Program],"NOW",PRICING[SKU],B3)</calculatedColumnFormula>
    </tableColumn>
    <tableColumn id="4" xr3:uid="{262E9C9C-D07A-46D8-8DD6-203BE4D5CF69}" name="MOQ_1" dataDxfId="118"/>
    <tableColumn id="5" xr3:uid="{90206060-067E-41B3-AE02-33BA1DF17C09}" name="MOQ_2" dataDxfId="117"/>
    <tableColumn id="6" xr3:uid="{2C30BD3E-DCB6-43CC-B63C-821A09089AAA}" name="MOQ_3" dataDxfId="116"/>
    <tableColumn id="8" xr3:uid="{02C556DC-5548-4E62-89C2-CA9DEF8A15B7}" name="REB_MOQ_1" dataDxfId="115" dataCellStyle="Currency"/>
    <tableColumn id="9" xr3:uid="{8ADEC196-237C-49E8-AC39-A89BC9A9BE53}" name="REB_MOQ_2" dataDxfId="114" dataCellStyle="Currency">
      <calculatedColumnFormula>SUMIFS(PRICING[Rebate $],PRICING[Program],"NOW",PRICING[SKU],Rebate_Lookup[[#This Row],[SKU CODE]],PRICING[Set],2)</calculatedColumnFormula>
    </tableColumn>
    <tableColumn id="10" xr3:uid="{CBEE3858-A375-4BA9-8453-144D3801A313}" name="REB_MOQ_3" dataDxfId="113" dataCellStyle="Currency">
      <calculatedColumnFormula>SUMIFS(PRICING[Rebate $],PRICING[Program],"NOW",PRICING[SKU],Rebate_Lookup[[#This Row],[SKU CODE]],PRICING[Set],3)</calculatedColumnFormula>
    </tableColumn>
    <tableColumn id="11" xr3:uid="{1F995AB8-9D11-4B38-84AB-4091A568FE10}" name="Order Form Quantity" dataDxfId="112">
      <calculatedColumnFormula>SUMIF('2025 LL-CALCULATOR - UNITS'!A:A,Rebate_Lookup[[#This Row],[SKU CODE]],'2025 LL-CALCULATOR - UNITS'!J:J)</calculatedColumnFormula>
    </tableColumn>
    <tableColumn id="13" xr3:uid="{6498B811-5AEA-469F-8039-DBAFEF59BFF6}" name="Qualified Rebate Tier" dataDxfId="111">
      <calculatedColumnFormula>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calculatedColumnFormula>
    </tableColumn>
    <tableColumn id="15" xr3:uid="{0114B748-EF5A-4FF1-BCD8-759F27D42656}" name="Column1" dataDxfId="110">
      <calculatedColumnFormula>COUNTIF('2025 LL-CALCULATOR - UNITS'!A:A,Rebate_Lookup[[#This Row],[SKU CODE]])</calculatedColumnFormula>
    </tableColumn>
    <tableColumn id="14" xr3:uid="{1A440646-B7E3-4DAC-B31B-B3DC5DEFD6FF}" name="Volume Buy Counter" dataDxfId="109">
      <calculatedColumnFormula>IFERROR(Rebate_Lookup[[#This Row],[Order Form Quantity]]&gt;=Rebate_Lookup[[#This Row],[MOQ_2]],0)</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DB263B-C9C4-4EA3-BCE1-15E3DFF26085}" name="PRICING" displayName="PRICING" ref="A1:AF159" totalsRowShown="0" headerRowCellStyle="Normal 3" dataCellStyle="Normal 3">
  <autoFilter ref="A1:AF159" xr:uid="{D4DB263B-C9C4-4EA3-BCE1-15E3DFF26085}"/>
  <tableColumns count="32">
    <tableColumn id="1" xr3:uid="{C40F7846-4718-4945-A1F0-CED9C394B378}" name="Manufacturer" dataCellStyle="Normal 3"/>
    <tableColumn id="22" xr3:uid="{D350342D-435D-4233-B9A2-DE5F637FF0F6}" name="Agency/TT" dataCellStyle="Normal 3"/>
    <tableColumn id="2" xr3:uid="{61C5C04C-A3DF-4FA0-9988-D6475BF3DA6D}" name="Segment" dataCellStyle="Normal 3"/>
    <tableColumn id="20" xr3:uid="{78424F8B-7156-4259-A845-926EEF9F1EA2}" name="Region" dataCellStyle="Normal 3"/>
    <tableColumn id="3" xr3:uid="{F93B0B8A-7D52-4B9B-8B75-016B9D87C1A7}" name="Indication" dataCellStyle="Normal 3"/>
    <tableColumn id="21" xr3:uid="{9DA75831-CA95-46B3-B8F3-5563E5FE2124}" name="Vol Buys" dataCellStyle="Normal 3"/>
    <tableColumn id="4" xr3:uid="{8E0EC537-F70E-42C0-A171-DB6837F12F0E}" name="Program" dataDxfId="7" dataCellStyle="Normal 3"/>
    <tableColumn id="5" xr3:uid="{E9FBEAA6-11AA-4221-AAE7-76B52276942F}" name="Old Bayer SKU " dataDxfId="6" dataCellStyle="Normal 3"/>
    <tableColumn id="6" xr3:uid="{36F905FD-1932-430D-BCA7-FE9D07BCDA26}" name="Old Envu SKU" dataDxfId="5" dataCellStyle="Normal 3"/>
    <tableColumn id="7" xr3:uid="{EFEFEE23-DC63-405C-A567-28E8DD63865F}" name="SKU" dataDxfId="4" dataCellStyle="Normal 3"/>
    <tableColumn id="8" xr3:uid="{7920513E-AA47-4B13-A75A-4308913E026F}" name="Product" dataCellStyle="Normal 3"/>
    <tableColumn id="9" xr3:uid="{2B33B601-1FD9-4B04-8381-2401AD0FF03B}" name="Size" dataCellStyle="Normal 3"/>
    <tableColumn id="10" xr3:uid="{A8CD33FA-C167-42A1-A705-4C73ABB95C17}" name="2025 In-Season Price" dataCellStyle="Normal 3"/>
    <tableColumn id="11" xr3:uid="{FD1843E2-42AA-4A6B-AA89-AA3B0E233E1A}" name="NOW Price" dataDxfId="3" dataCellStyle="Currency 3"/>
    <tableColumn id="23" xr3:uid="{C20A2A93-56F4-4182-82F8-FED53033DBCB}" name="In SZN-NOW delta" dataDxfId="2" dataCellStyle="Currency 3"/>
    <tableColumn id="12" xr3:uid="{9AA2EE2B-37AE-4884-911C-497EDF8A2AB6}" name="Min Qty" dataDxfId="1" dataCellStyle="Normal 3"/>
    <tableColumn id="13" xr3:uid="{7CEAB95D-D46D-422F-95DB-78EC44F51507}" name="Rebate $" dataDxfId="0" dataCellStyle="Currency 3"/>
    <tableColumn id="14" xr3:uid="{DB839FD4-875B-4751-ACB4-EB8CCBEE6930}" name="Final Price" dataCellStyle="Normal 3"/>
    <tableColumn id="27" xr3:uid="{8848DFB6-FC1F-478E-879F-309CADAF94F4}" name="CA In-season Price" dataCellStyle="Normal 3"/>
    <tableColumn id="28" xr3:uid="{0ED569F3-077C-4A59-98F3-3CB02877A43D}" name="CA NOW Price" dataCellStyle="Normal 3"/>
    <tableColumn id="29" xr3:uid="{13F14D7B-AEA2-45C3-82A7-8F05862BBD3E}" name="CA Final Price" dataCellStyle="Normal 3"/>
    <tableColumn id="30" xr3:uid="{CBC77D6A-289E-44AB-B95D-2358DAAAB54E}" name="WA In-season Price" dataCellStyle="Normal 3"/>
    <tableColumn id="31" xr3:uid="{A8C0A066-DD0A-491D-BEB4-F7E669A6420D}" name="WA NOW Price" dataCellStyle="Normal 3"/>
    <tableColumn id="32" xr3:uid="{9F5D2A59-25D2-41A3-8636-FABED3D411DD}" name="WA Final Price" dataCellStyle="Normal 3"/>
    <tableColumn id="24" xr3:uid="{D513B5E0-1CF0-4D05-8042-3AB404C61061}" name="Package Ounces" dataCellStyle="Normal 3"/>
    <tableColumn id="15" xr3:uid="{90F86853-EA3A-4F6F-ADDF-2F070F57149A}" name="Standard Use Rate (oz/M)" dataCellStyle="Normal 3"/>
    <tableColumn id="25" xr3:uid="{1DE3F186-67FB-42DF-B286-8F1B84EFF3AF}" name="Standard Use Rate (oz/Acre)" dataCellStyle="Normal 3"/>
    <tableColumn id="26" xr3:uid="{771E7EB3-D900-4069-BC16-412B1E2E7EFF}" name="Price/1000 sq ft" dataCellStyle="Normal 3"/>
    <tableColumn id="16" xr3:uid="{EFA1CF62-0D53-4A5F-83BD-163B40DD19E7}" name="Price/Acre" dataCellStyle="Normal 3"/>
    <tableColumn id="17" xr3:uid="{3BD74CDB-7FAE-415B-BBEF-40F44DABEC11}" name="Total %" dataCellStyle="Normal 3"/>
    <tableColumn id="18" xr3:uid="{F9578103-33FB-403F-81EB-47A93CDA7445}" name="*cumlative" dataCellStyle="Normal 3"/>
    <tableColumn id="19" xr3:uid="{D51A9F18-140E-464D-909E-1B62F942913D}" name="Set" dataCellStyle="Normal 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56" dT="2025-06-17T22:04:05.49" personId="{4255E54B-AE55-4179-B1C1-FBE5CECF8D24}" id="{68F43FED-BFBF-4AE9-B04E-393BFBA7A159}">
    <text>The brands where min qty is 175 gal, rebate is $15 rebate/gal.  They can mix and match as they desire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8226-DE7A-46E1-9897-4FB56944CC57}">
  <sheetPr codeName="Sheet4">
    <pageSetUpPr fitToPage="1"/>
  </sheetPr>
  <dimension ref="A1:AH52"/>
  <sheetViews>
    <sheetView showGridLines="0" tabSelected="1" topLeftCell="D1" zoomScale="90" zoomScaleNormal="90" workbookViewId="0">
      <selection activeCell="N29" sqref="N29"/>
    </sheetView>
  </sheetViews>
  <sheetFormatPr defaultColWidth="0" defaultRowHeight="12.75" customHeight="1"/>
  <cols>
    <col min="1" max="1" width="32.7109375" style="95" hidden="1" customWidth="1"/>
    <col min="2" max="3" width="34.28515625" style="95" hidden="1" customWidth="1"/>
    <col min="4" max="4" width="3" style="208" customWidth="1"/>
    <col min="5" max="5" width="33.7109375" style="95" customWidth="1"/>
    <col min="6" max="6" width="29.85546875" style="95" customWidth="1"/>
    <col min="7" max="8" width="13.42578125" style="95" customWidth="1"/>
    <col min="9" max="9" width="9.85546875" style="95" customWidth="1"/>
    <col min="10" max="10" width="14" style="136" customWidth="1"/>
    <col min="11" max="11" width="12.140625" style="105" customWidth="1"/>
    <col min="12" max="12" width="10.85546875" style="105" hidden="1" customWidth="1"/>
    <col min="13" max="13" width="14.140625" style="105" customWidth="1"/>
    <col min="14" max="14" width="22.140625" style="105" customWidth="1"/>
    <col min="15" max="17" width="16.140625" style="105" hidden="1" customWidth="1"/>
    <col min="18" max="19" width="16.140625" style="105" customWidth="1"/>
    <col min="20" max="20" width="18.42578125" style="105" customWidth="1"/>
    <col min="21" max="21" width="14.140625" style="105" customWidth="1"/>
    <col min="22" max="22" width="14.140625" style="104" customWidth="1"/>
    <col min="23" max="26" width="14.140625" style="135" customWidth="1"/>
    <col min="27" max="27" width="9.140625" style="95" customWidth="1"/>
    <col min="28" max="29" width="9.140625" style="95" hidden="1" customWidth="1"/>
    <col min="30" max="30" width="10.42578125" style="95" hidden="1" customWidth="1"/>
    <col min="31" max="16384" width="9.140625" style="95" hidden="1"/>
  </cols>
  <sheetData>
    <row r="1" spans="1:29" ht="66.95" customHeight="1">
      <c r="F1" s="297" t="s">
        <v>0</v>
      </c>
      <c r="G1" s="297"/>
      <c r="H1" s="297"/>
      <c r="I1" s="297"/>
      <c r="J1" s="297"/>
      <c r="K1" s="297"/>
      <c r="L1" s="297"/>
      <c r="M1" s="297"/>
      <c r="N1" s="297"/>
      <c r="O1" s="96"/>
      <c r="P1" s="96"/>
      <c r="Q1" s="96"/>
      <c r="R1" s="97"/>
      <c r="S1" s="97"/>
      <c r="T1" s="97"/>
      <c r="U1" s="97"/>
      <c r="V1" s="98"/>
      <c r="W1" s="99"/>
      <c r="X1" s="99"/>
      <c r="Y1" s="99"/>
      <c r="Z1" s="99"/>
    </row>
    <row r="2" spans="1:29" s="69" customFormat="1" ht="9.75" customHeight="1">
      <c r="D2" s="208"/>
      <c r="F2" s="100"/>
      <c r="G2" s="100"/>
      <c r="H2" s="100"/>
      <c r="I2" s="100"/>
      <c r="J2" s="100"/>
      <c r="K2" s="100"/>
      <c r="L2" s="100"/>
      <c r="M2" s="100"/>
      <c r="N2" s="100"/>
      <c r="O2" s="100"/>
      <c r="P2" s="100"/>
      <c r="Q2" s="100"/>
      <c r="R2" s="101"/>
      <c r="S2" s="101"/>
      <c r="T2" s="101"/>
      <c r="U2" s="101"/>
      <c r="V2" s="102"/>
      <c r="W2" s="103"/>
      <c r="X2" s="103"/>
      <c r="Y2" s="103"/>
      <c r="Z2" s="103"/>
    </row>
    <row r="3" spans="1:29" ht="24" customHeight="1">
      <c r="A3" s="104"/>
      <c r="B3" s="104"/>
      <c r="C3" s="104"/>
      <c r="D3" s="209"/>
      <c r="F3" s="104"/>
      <c r="J3" s="105"/>
      <c r="R3" s="159"/>
      <c r="S3" s="159"/>
      <c r="T3" s="160"/>
      <c r="U3" s="161" t="s">
        <v>1</v>
      </c>
      <c r="V3" s="162"/>
      <c r="W3" s="162"/>
      <c r="X3" s="162"/>
      <c r="Y3" s="162"/>
      <c r="Z3" s="162"/>
      <c r="AA3" s="163"/>
      <c r="AB3" s="164"/>
    </row>
    <row r="4" spans="1:29" ht="21" customHeight="1">
      <c r="A4" s="106"/>
      <c r="B4" s="106"/>
      <c r="C4" s="106"/>
      <c r="D4" s="210"/>
      <c r="E4" s="295" t="s">
        <v>2</v>
      </c>
      <c r="F4" s="296"/>
      <c r="G4" s="106"/>
      <c r="H4" s="106"/>
      <c r="I4" s="106"/>
      <c r="J4" s="105"/>
      <c r="R4" s="165"/>
      <c r="S4" s="165"/>
      <c r="T4" s="166" t="s">
        <v>3</v>
      </c>
      <c r="U4" s="167" t="s">
        <v>4</v>
      </c>
      <c r="V4" s="167" t="s">
        <v>5</v>
      </c>
      <c r="W4" s="167" t="s">
        <v>6</v>
      </c>
      <c r="X4" s="167" t="s">
        <v>7</v>
      </c>
      <c r="Y4" s="167" t="s">
        <v>8</v>
      </c>
      <c r="Z4" s="167" t="s">
        <v>9</v>
      </c>
      <c r="AA4" s="163"/>
      <c r="AB4" s="164"/>
    </row>
    <row r="5" spans="1:29" ht="21" customHeight="1">
      <c r="A5" s="106"/>
      <c r="B5" s="106"/>
      <c r="C5" s="106"/>
      <c r="D5" s="210"/>
      <c r="E5" s="63" t="s">
        <v>10</v>
      </c>
      <c r="F5" s="2"/>
      <c r="G5" s="106"/>
      <c r="H5" s="106"/>
      <c r="I5" s="106"/>
      <c r="J5" s="105"/>
      <c r="R5" s="165"/>
      <c r="S5" s="165"/>
      <c r="T5" s="166" t="s">
        <v>11</v>
      </c>
      <c r="U5" s="168">
        <v>0.02</v>
      </c>
      <c r="V5" s="168">
        <v>0.02</v>
      </c>
      <c r="W5" s="168">
        <v>0.03</v>
      </c>
      <c r="X5" s="168">
        <v>0.04</v>
      </c>
      <c r="Y5" s="168">
        <v>0.05</v>
      </c>
      <c r="Z5" s="168">
        <v>0.06</v>
      </c>
      <c r="AA5" s="163"/>
      <c r="AB5" s="164"/>
    </row>
    <row r="6" spans="1:29" ht="21" customHeight="1">
      <c r="A6" s="106"/>
      <c r="B6" s="106"/>
      <c r="C6" s="106"/>
      <c r="D6" s="210"/>
      <c r="E6" s="64" t="s">
        <v>12</v>
      </c>
      <c r="F6" s="3"/>
      <c r="G6" s="106"/>
      <c r="H6" s="106"/>
      <c r="I6" s="106"/>
      <c r="J6" s="105"/>
      <c r="R6" s="165"/>
      <c r="S6" s="165"/>
      <c r="T6" s="160"/>
      <c r="U6" s="107" t="b">
        <f>AND($N$30&gt;=5000,$N$30&lt;10000)</f>
        <v>0</v>
      </c>
      <c r="V6" s="107" t="b">
        <f>AND($N$30&gt;=10000,$N$30&lt;20000)</f>
        <v>0</v>
      </c>
      <c r="W6" s="107" t="b">
        <f>AND($N$30&gt;=20000,$N$30&lt;50000)</f>
        <v>0</v>
      </c>
      <c r="X6" s="107" t="b">
        <f>AND($N$30&gt;=50000,$N$30&lt;100000)</f>
        <v>0</v>
      </c>
      <c r="Y6" s="107" t="b">
        <f>AND($N$30&gt;=100000,$N$30&lt;150000)</f>
        <v>0</v>
      </c>
      <c r="Z6" s="108" t="b">
        <f>$N$30&gt;=150000</f>
        <v>0</v>
      </c>
      <c r="AA6" s="163"/>
      <c r="AB6" s="164"/>
    </row>
    <row r="7" spans="1:29" ht="21" customHeight="1">
      <c r="A7" s="106"/>
      <c r="B7" s="106"/>
      <c r="C7" s="106"/>
      <c r="D7" s="210"/>
      <c r="E7" s="65" t="s">
        <v>13</v>
      </c>
      <c r="F7" s="4"/>
      <c r="G7" s="106"/>
      <c r="H7" s="106"/>
      <c r="I7" s="106"/>
      <c r="J7" s="105"/>
      <c r="R7" s="165"/>
      <c r="S7" s="165"/>
      <c r="T7" s="330" t="s">
        <v>14</v>
      </c>
      <c r="U7" s="317" t="s">
        <v>15</v>
      </c>
      <c r="V7" s="317"/>
      <c r="W7" s="170"/>
      <c r="X7" s="170"/>
      <c r="Y7" s="170"/>
      <c r="Z7" s="170"/>
      <c r="AA7" s="163"/>
      <c r="AB7" s="164"/>
    </row>
    <row r="8" spans="1:29" ht="21" customHeight="1">
      <c r="A8" s="106"/>
      <c r="B8" s="106"/>
      <c r="C8" s="106"/>
      <c r="D8" s="210"/>
      <c r="E8" s="66" t="s">
        <v>16</v>
      </c>
      <c r="F8" s="5"/>
      <c r="G8" s="106"/>
      <c r="H8" s="106"/>
      <c r="I8" s="106"/>
      <c r="J8" s="105"/>
      <c r="R8" s="165"/>
      <c r="S8" s="165"/>
      <c r="T8" s="330"/>
      <c r="U8" s="317"/>
      <c r="V8" s="317"/>
      <c r="W8" s="170"/>
      <c r="X8" s="170"/>
      <c r="Y8" s="170"/>
      <c r="Z8" s="170"/>
      <c r="AA8" s="163"/>
      <c r="AB8" s="164"/>
    </row>
    <row r="9" spans="1:29" ht="21" customHeight="1">
      <c r="A9" s="106"/>
      <c r="B9" s="106"/>
      <c r="C9" s="106"/>
      <c r="D9" s="210"/>
      <c r="E9" s="66" t="s">
        <v>17</v>
      </c>
      <c r="F9" s="6"/>
      <c r="G9" s="106"/>
      <c r="H9" s="106"/>
      <c r="I9" s="106"/>
      <c r="J9" s="105"/>
      <c r="R9" s="165"/>
      <c r="S9" s="165"/>
      <c r="T9" s="160"/>
      <c r="U9" s="318" t="str">
        <f>IF(U11=0,"n/a",U11)</f>
        <v>n/a</v>
      </c>
      <c r="V9" s="318"/>
      <c r="W9" s="170"/>
      <c r="X9" s="170"/>
      <c r="Y9" s="170"/>
      <c r="Z9" s="170"/>
      <c r="AA9" s="163"/>
      <c r="AB9" s="164"/>
    </row>
    <row r="10" spans="1:29" ht="18" customHeight="1">
      <c r="A10" s="106"/>
      <c r="B10" s="106"/>
      <c r="C10" s="106"/>
      <c r="D10" s="210"/>
      <c r="E10" s="109"/>
      <c r="F10" s="106"/>
      <c r="G10" s="106"/>
      <c r="H10" s="106"/>
      <c r="I10" s="106"/>
      <c r="J10" s="106"/>
      <c r="K10" s="95"/>
      <c r="L10" s="95"/>
      <c r="M10" s="106"/>
      <c r="N10" s="106"/>
      <c r="O10" s="106"/>
      <c r="P10" s="106"/>
      <c r="Q10" s="106"/>
      <c r="R10" s="165"/>
      <c r="S10" s="165"/>
      <c r="T10" s="160"/>
      <c r="U10" s="171" t="s">
        <v>18</v>
      </c>
      <c r="V10" s="169"/>
      <c r="W10" s="170"/>
      <c r="X10" s="170"/>
      <c r="Y10" s="170"/>
      <c r="Z10" s="170"/>
      <c r="AA10" s="164"/>
      <c r="AB10" s="164"/>
    </row>
    <row r="11" spans="1:29" ht="15.95" customHeight="1" thickBot="1">
      <c r="A11" s="110" t="s">
        <v>19</v>
      </c>
      <c r="B11" s="110"/>
      <c r="C11" s="110"/>
      <c r="D11" s="211"/>
      <c r="G11" s="106"/>
      <c r="H11" s="106"/>
      <c r="I11" s="106"/>
      <c r="J11" s="106"/>
      <c r="K11" s="95"/>
      <c r="L11" s="111" t="s">
        <v>20</v>
      </c>
      <c r="M11" s="106"/>
      <c r="N11" s="184">
        <f>N30-SUM($N$21:$N$26,N29)</f>
        <v>0</v>
      </c>
      <c r="O11" s="111" t="s">
        <v>20</v>
      </c>
      <c r="P11" s="111" t="s">
        <v>20</v>
      </c>
      <c r="Q11" s="111" t="s">
        <v>20</v>
      </c>
      <c r="R11" s="165"/>
      <c r="S11" s="165"/>
      <c r="T11" s="163"/>
      <c r="U11" s="172">
        <f>IF(AND('REBATE MATRIX (NOW)'!$P$1&gt;=5,N30&gt;=10000,N30&lt;50000),0.01,
IF(AND('REBATE MATRIX (NOW)'!$P$1&gt;=5,N30&gt;=50000),0.02,0))</f>
        <v>0</v>
      </c>
      <c r="V11" s="164"/>
      <c r="AA11" s="164"/>
      <c r="AB11" s="164"/>
    </row>
    <row r="12" spans="1:29" ht="18.600000000000001" customHeight="1" thickTop="1">
      <c r="A12" s="243" t="s">
        <v>21</v>
      </c>
      <c r="B12" s="243" t="s">
        <v>22</v>
      </c>
      <c r="C12" s="206"/>
      <c r="D12" s="212"/>
      <c r="E12" s="298" t="s">
        <v>23</v>
      </c>
      <c r="F12" s="301" t="s">
        <v>24</v>
      </c>
      <c r="G12" s="304" t="s">
        <v>25</v>
      </c>
      <c r="H12" s="304" t="s">
        <v>26</v>
      </c>
      <c r="I12" s="307" t="s">
        <v>27</v>
      </c>
      <c r="J12" s="307" t="s">
        <v>28</v>
      </c>
      <c r="K12" s="248" t="s">
        <v>29</v>
      </c>
      <c r="L12" s="248" t="s">
        <v>30</v>
      </c>
      <c r="M12" s="280" t="s">
        <v>31</v>
      </c>
      <c r="N12" s="248" t="s">
        <v>32</v>
      </c>
      <c r="O12" s="248" t="s">
        <v>33</v>
      </c>
      <c r="P12" s="248" t="s">
        <v>34</v>
      </c>
      <c r="Q12" s="248" t="s">
        <v>35</v>
      </c>
      <c r="R12" s="248" t="s">
        <v>36</v>
      </c>
      <c r="S12" s="248" t="s">
        <v>37</v>
      </c>
      <c r="T12" s="280" t="s">
        <v>38</v>
      </c>
      <c r="U12" s="283" t="s">
        <v>39</v>
      </c>
      <c r="V12" s="286" t="s">
        <v>40</v>
      </c>
      <c r="W12" s="289" t="s">
        <v>41</v>
      </c>
      <c r="X12" s="292" t="s">
        <v>42</v>
      </c>
      <c r="Y12" s="289" t="s">
        <v>43</v>
      </c>
      <c r="Z12" s="277" t="s">
        <v>44</v>
      </c>
    </row>
    <row r="13" spans="1:29" ht="31.5" customHeight="1">
      <c r="A13" s="244"/>
      <c r="B13" s="244"/>
      <c r="C13" s="207"/>
      <c r="D13" s="213"/>
      <c r="E13" s="299"/>
      <c r="F13" s="302"/>
      <c r="G13" s="305"/>
      <c r="H13" s="305"/>
      <c r="I13" s="308"/>
      <c r="J13" s="308"/>
      <c r="K13" s="249"/>
      <c r="L13" s="249"/>
      <c r="M13" s="281"/>
      <c r="N13" s="249"/>
      <c r="O13" s="249"/>
      <c r="P13" s="249"/>
      <c r="Q13" s="249"/>
      <c r="R13" s="249"/>
      <c r="S13" s="249"/>
      <c r="T13" s="281"/>
      <c r="U13" s="284"/>
      <c r="V13" s="287"/>
      <c r="W13" s="290"/>
      <c r="X13" s="293"/>
      <c r="Y13" s="290"/>
      <c r="Z13" s="278"/>
    </row>
    <row r="14" spans="1:29" ht="16.5" customHeight="1" thickBot="1">
      <c r="A14" s="245"/>
      <c r="B14" s="245"/>
      <c r="C14" s="207"/>
      <c r="D14" s="213"/>
      <c r="E14" s="300"/>
      <c r="F14" s="303"/>
      <c r="G14" s="306"/>
      <c r="H14" s="306"/>
      <c r="I14" s="309"/>
      <c r="J14" s="309"/>
      <c r="K14" s="250"/>
      <c r="L14" s="250"/>
      <c r="M14" s="282"/>
      <c r="N14" s="250"/>
      <c r="O14" s="250"/>
      <c r="P14" s="250"/>
      <c r="Q14" s="250"/>
      <c r="R14" s="250"/>
      <c r="S14" s="250"/>
      <c r="T14" s="282"/>
      <c r="U14" s="285"/>
      <c r="V14" s="288"/>
      <c r="W14" s="291"/>
      <c r="X14" s="294"/>
      <c r="Y14" s="291"/>
      <c r="Z14" s="279"/>
    </row>
    <row r="15" spans="1:29" ht="18.600000000000001" customHeight="1" thickTop="1">
      <c r="A15" s="117">
        <v>11008557</v>
      </c>
      <c r="B15" s="112" t="str">
        <f>INDEX(PRICING[Agency/TT],MATCH(A15,PRICING[SKU],0))</f>
        <v>A</v>
      </c>
      <c r="C15" s="112"/>
      <c r="D15" s="214"/>
      <c r="E15" s="196" t="s">
        <v>45</v>
      </c>
      <c r="F15" s="193" t="s">
        <v>46</v>
      </c>
      <c r="G15" s="118" t="s">
        <v>47</v>
      </c>
      <c r="H15" s="113" t="s">
        <v>48</v>
      </c>
      <c r="I15" s="113" t="str">
        <f t="shared" ref="I15:I28" si="0">IF(B15="a","✔","")</f>
        <v>✔</v>
      </c>
      <c r="J15" s="60"/>
      <c r="K15" s="114">
        <f>INDEX(PRICING[2025 In-Season Price],MATCH(A15,PRICING[SKU],0))</f>
        <v>1549.45</v>
      </c>
      <c r="L15" s="61" t="str">
        <f t="shared" ref="L15:L27" si="1">IF(J15*K15= 0,"",J15*K15)</f>
        <v/>
      </c>
      <c r="M15" s="61">
        <f>INDEX(PRICING[NOW Price],MATCH(A15,PRICING[SKU],0))</f>
        <v>1471.98</v>
      </c>
      <c r="N15" s="61" t="str">
        <f t="shared" ref="N15:N28" si="2">IF(J15*M15= 0,"",J15*M15)</f>
        <v/>
      </c>
      <c r="O15" s="62">
        <f>INDEX(Rebate_Lookup[Instances],MATCH(A15,Rebate_Lookup[SKU CODE],0))</f>
        <v>2</v>
      </c>
      <c r="P15" s="62" t="str">
        <f>IF(J15="","",INDEX(Rebate_Lookup[Qualified Rebate Tier],MATCH(A15,Rebate_Lookup[SKU CODE],0)))</f>
        <v/>
      </c>
      <c r="Q15" s="61" t="str">
        <f>IF(J15="","",IF(P15=1,INDEX(Rebate_Lookup[REB_MOQ_1],MATCH(A15,Rebate_Lookup[SKU CODE],0)),IF(P15=2,INDEX(Rebate_Lookup[REB_MOQ_2],MATCH(A15,Rebate_Lookup[SKU CODE],0)),IF(P15=3,INDEX(Rebate_Lookup[REB_MOQ_3],MATCH(A15,Rebate_Lookup[SKU CODE],0)),"#err"))))</f>
        <v/>
      </c>
      <c r="R15" s="115" t="str">
        <f t="shared" ref="R15:R28" si="3">IF(OR(Q15=0,Q15=""),"",J15*Q15)</f>
        <v/>
      </c>
      <c r="S15" s="115" t="str">
        <f>IFERROR(SUM($H$40:$H$41)*N15,"")</f>
        <v/>
      </c>
      <c r="T15" s="61" t="str">
        <f>IFERROR((N15-SUM(R15:S15))/J15,"")</f>
        <v/>
      </c>
      <c r="U15" s="116" t="str">
        <f>IF(AND(J15&lt;&gt;"",J15&gt;0), J15*T15,"")</f>
        <v/>
      </c>
      <c r="V15" s="119">
        <f t="shared" ref="V15:V16" si="4">W15/43.56</f>
        <v>0.3673094582185491</v>
      </c>
      <c r="W15" s="91">
        <v>16</v>
      </c>
      <c r="X15" s="87" t="str">
        <f>IF(AND(TRIM(W15)&lt;&gt;"",TRIM(J15)&lt;&gt;""),(J15*64)/W15,"")</f>
        <v/>
      </c>
      <c r="Y15" s="87">
        <f t="shared" ref="Y15:Y17" si="5">IF(J15&lt;&gt;0,U15/X15,0)</f>
        <v>0</v>
      </c>
      <c r="Z15" s="88">
        <f t="shared" ref="Z15:Z17" si="6">Y15/43.56</f>
        <v>0</v>
      </c>
      <c r="AC15" s="120"/>
    </row>
    <row r="16" spans="1:29" ht="18.600000000000001" customHeight="1" thickBot="1">
      <c r="A16" s="117">
        <v>11009500</v>
      </c>
      <c r="B16" s="112" t="str">
        <f>INDEX(PRICING[Agency/TT],MATCH(A16,PRICING[SKU],0))</f>
        <v>A</v>
      </c>
      <c r="C16" s="112"/>
      <c r="D16" s="214"/>
      <c r="E16" s="198" t="s">
        <v>49</v>
      </c>
      <c r="F16" s="195" t="s">
        <v>46</v>
      </c>
      <c r="G16" s="173" t="s">
        <v>50</v>
      </c>
      <c r="H16" s="173" t="s">
        <v>48</v>
      </c>
      <c r="I16" s="173" t="str">
        <f t="shared" si="0"/>
        <v>✔</v>
      </c>
      <c r="J16" s="174"/>
      <c r="K16" s="175">
        <f>INDEX(PRICING[2025 In-Season Price],MATCH(A16,PRICING[SKU],0))</f>
        <v>6863.6</v>
      </c>
      <c r="L16" s="176" t="str">
        <f t="shared" si="1"/>
        <v/>
      </c>
      <c r="M16" s="176">
        <f>INDEX(PRICING[NOW Price],MATCH(A16,PRICING[SKU],0))</f>
        <v>6520.42</v>
      </c>
      <c r="N16" s="176" t="str">
        <f t="shared" si="2"/>
        <v/>
      </c>
      <c r="O16" s="177">
        <f>INDEX(Rebate_Lookup[Instances],MATCH(A16,Rebate_Lookup[SKU CODE],0))</f>
        <v>3</v>
      </c>
      <c r="P16" s="177" t="str">
        <f>IF(J16="","",INDEX(Rebate_Lookup[Qualified Rebate Tier],MATCH(A16,Rebate_Lookup[SKU CODE],0)))</f>
        <v/>
      </c>
      <c r="Q16" s="176" t="str">
        <f>IF(J16="","",IF(P16=1,INDEX(Rebate_Lookup[REB_MOQ_1],MATCH(A16,Rebate_Lookup[SKU CODE],0)),IF(P16=2,INDEX(Rebate_Lookup[REB_MOQ_2],MATCH(A16,Rebate_Lookup[SKU CODE],0)),IF(P16=3,INDEX(Rebate_Lookup[REB_MOQ_3],MATCH(A16,Rebate_Lookup[SKU CODE],0)),"#err"))))</f>
        <v/>
      </c>
      <c r="R16" s="178" t="str">
        <f t="shared" si="3"/>
        <v/>
      </c>
      <c r="S16" s="178" t="str">
        <f t="shared" ref="S16:S20" si="7">IFERROR(SUM($H$40:$H$41)*N16,"")</f>
        <v/>
      </c>
      <c r="T16" s="176" t="str">
        <f t="shared" ref="T16:T29" si="8">IFERROR((N16-SUM(R16:S16))/J16,"")</f>
        <v/>
      </c>
      <c r="U16" s="179" t="str">
        <f t="shared" ref="U16:U21" si="9">IF(AND(J16&lt;&gt;"",J16&gt;0), J16*T16,"")</f>
        <v/>
      </c>
      <c r="V16" s="180">
        <f t="shared" si="4"/>
        <v>0.3673094582185491</v>
      </c>
      <c r="W16" s="181">
        <v>16</v>
      </c>
      <c r="X16" s="182" t="str">
        <f>IF(AND(TRIM(W16)&lt;&gt;"",TRIM(J16)&lt;&gt;""),(J16*320)/W16,"")</f>
        <v/>
      </c>
      <c r="Y16" s="182">
        <f t="shared" si="5"/>
        <v>0</v>
      </c>
      <c r="Z16" s="183">
        <f t="shared" si="6"/>
        <v>0</v>
      </c>
    </row>
    <row r="17" spans="1:26" ht="18.600000000000001" customHeight="1" thickTop="1">
      <c r="A17" s="117">
        <v>79714858</v>
      </c>
      <c r="B17" s="112" t="str">
        <f>INDEX(PRICING[Agency/TT],MATCH(A17,PRICING[SKU],0))</f>
        <v>A</v>
      </c>
      <c r="C17" s="112"/>
      <c r="D17" s="214"/>
      <c r="E17" s="196" t="s">
        <v>51</v>
      </c>
      <c r="F17" s="192" t="s">
        <v>52</v>
      </c>
      <c r="G17" s="190" t="s">
        <v>53</v>
      </c>
      <c r="H17" s="190" t="s">
        <v>54</v>
      </c>
      <c r="I17" s="190" t="str">
        <f t="shared" si="0"/>
        <v>✔</v>
      </c>
      <c r="J17" s="86"/>
      <c r="K17" s="114">
        <f>INDEX(PRICING[2025 In-Season Price],MATCH(A17,PRICING[SKU],0))</f>
        <v>131.19999999999999</v>
      </c>
      <c r="L17" s="61" t="str">
        <f t="shared" si="1"/>
        <v/>
      </c>
      <c r="M17" s="61">
        <f>INDEX(PRICING[NOW Price],MATCH(A17,PRICING[SKU],0))</f>
        <v>124.64</v>
      </c>
      <c r="N17" s="61" t="str">
        <f t="shared" si="2"/>
        <v/>
      </c>
      <c r="O17" s="62">
        <f>INDEX(Rebate_Lookup[Instances],MATCH(A17,Rebate_Lookup[SKU CODE],0))</f>
        <v>3</v>
      </c>
      <c r="P17" s="62" t="str">
        <f>IF(J17="","",INDEX(Rebate_Lookup[Qualified Rebate Tier],MATCH(A17,Rebate_Lookup[SKU CODE],0)))</f>
        <v/>
      </c>
      <c r="Q17" s="61" t="str">
        <f>IF(J17="","",IF(P17=1,INDEX(Rebate_Lookup[REB_MOQ_1],MATCH(A17,Rebate_Lookup[SKU CODE],0)),IF(P17=2,INDEX(Rebate_Lookup[REB_MOQ_2],MATCH(A17,Rebate_Lookup[SKU CODE],0)),IF(P17=3,INDEX(Rebate_Lookup[REB_MOQ_3],MATCH(A17,Rebate_Lookup[SKU CODE],0)),"#err"))))</f>
        <v/>
      </c>
      <c r="R17" s="115" t="str">
        <f t="shared" si="3"/>
        <v/>
      </c>
      <c r="S17" s="115" t="str">
        <f t="shared" si="7"/>
        <v/>
      </c>
      <c r="T17" s="61" t="str">
        <f t="shared" si="8"/>
        <v/>
      </c>
      <c r="U17" s="116" t="str">
        <f t="shared" si="9"/>
        <v/>
      </c>
      <c r="V17" s="204">
        <v>8.4940312213039507E-2</v>
      </c>
      <c r="W17" s="89">
        <f t="shared" ref="W17" si="10">V17*43.56</f>
        <v>3.7000000000000011</v>
      </c>
      <c r="X17" s="89" t="str">
        <f>IF(AND(TRIM(W17)&lt;&gt;"",TRIM(J17)&lt;&gt;""),(J17*10)/W17,"")</f>
        <v/>
      </c>
      <c r="Y17" s="89">
        <f t="shared" si="5"/>
        <v>0</v>
      </c>
      <c r="Z17" s="90">
        <f t="shared" si="6"/>
        <v>0</v>
      </c>
    </row>
    <row r="18" spans="1:26" ht="18.600000000000001" customHeight="1">
      <c r="A18" s="117" t="s">
        <v>55</v>
      </c>
      <c r="B18" s="112" t="str">
        <f>INDEX(PRICING[Agency/TT],MATCH(A18,PRICING[SKU],0))</f>
        <v>A</v>
      </c>
      <c r="C18" s="112"/>
      <c r="D18" s="214"/>
      <c r="E18" s="196" t="s">
        <v>56</v>
      </c>
      <c r="F18" s="192" t="s">
        <v>57</v>
      </c>
      <c r="G18" s="190" t="s">
        <v>53</v>
      </c>
      <c r="H18" s="190" t="s">
        <v>54</v>
      </c>
      <c r="I18" s="190" t="str">
        <f t="shared" si="0"/>
        <v>✔</v>
      </c>
      <c r="J18" s="86"/>
      <c r="K18" s="114">
        <f>INDEX(PRICING[2025 In-Season Price],MATCH(A18,PRICING[SKU],0))</f>
        <v>166.4</v>
      </c>
      <c r="L18" s="61" t="str">
        <f t="shared" si="1"/>
        <v/>
      </c>
      <c r="M18" s="61">
        <f>INDEX(PRICING[NOW Price],MATCH(A18,PRICING[SKU],0))</f>
        <v>158.08000000000001</v>
      </c>
      <c r="N18" s="61" t="str">
        <f t="shared" si="2"/>
        <v/>
      </c>
      <c r="O18" s="62">
        <f>INDEX(Rebate_Lookup[Instances],MATCH(A18,Rebate_Lookup[SKU CODE],0))</f>
        <v>3</v>
      </c>
      <c r="P18" s="62" t="str">
        <f>IF(J18="","",INDEX(Rebate_Lookup[Qualified Rebate Tier],MATCH(A18,Rebate_Lookup[SKU CODE],0)))</f>
        <v/>
      </c>
      <c r="Q18" s="61" t="str">
        <f>IF(J18="","",IF(P18=1,INDEX(Rebate_Lookup[REB_MOQ_1],MATCH(A18,Rebate_Lookup[SKU CODE],0)),IF(P18=2,INDEX(Rebate_Lookup[REB_MOQ_2],MATCH(A18,Rebate_Lookup[SKU CODE],0)),IF(P18=3,INDEX(Rebate_Lookup[REB_MOQ_3],MATCH(A18,Rebate_Lookup[SKU CODE],0)),"#err"))))</f>
        <v/>
      </c>
      <c r="R18" s="115" t="str">
        <f t="shared" si="3"/>
        <v/>
      </c>
      <c r="S18" s="115" t="str">
        <f t="shared" si="7"/>
        <v/>
      </c>
      <c r="T18" s="61" t="str">
        <f t="shared" si="8"/>
        <v/>
      </c>
      <c r="U18" s="116" t="str">
        <f t="shared" si="9"/>
        <v/>
      </c>
      <c r="V18" s="122">
        <f>W18/43.56</f>
        <v>0.17217630853994489</v>
      </c>
      <c r="W18" s="92">
        <v>7.5</v>
      </c>
      <c r="X18" s="89" t="str">
        <f>IF(AND(TRIM(W18)&lt;&gt;"",TRIM(J18)&lt;&gt;""),(J18*10)/W18,"")</f>
        <v/>
      </c>
      <c r="Y18" s="89">
        <f t="shared" ref="Y18:Y24" si="11">IF(J18&lt;&gt;0,U18/X18,0)</f>
        <v>0</v>
      </c>
      <c r="Z18" s="90">
        <f t="shared" ref="Z18:Z24" si="12">Y18/43.56</f>
        <v>0</v>
      </c>
    </row>
    <row r="19" spans="1:26" ht="18.600000000000001" customHeight="1">
      <c r="A19" s="117">
        <v>79545312</v>
      </c>
      <c r="B19" s="112" t="str">
        <f>INDEX(PRICING[Agency/TT],MATCH(A19,PRICING[SKU],0))</f>
        <v>A</v>
      </c>
      <c r="C19" s="112"/>
      <c r="D19" s="214"/>
      <c r="E19" s="196" t="s">
        <v>58</v>
      </c>
      <c r="F19" s="192" t="s">
        <v>59</v>
      </c>
      <c r="G19" s="190" t="s">
        <v>60</v>
      </c>
      <c r="H19" s="190" t="s">
        <v>54</v>
      </c>
      <c r="I19" s="190" t="str">
        <f t="shared" si="0"/>
        <v>✔</v>
      </c>
      <c r="J19" s="86"/>
      <c r="K19" s="191">
        <f>INDEX(PRICING[2025 In-Season Price],MATCH(A19,PRICING[SKU],0))</f>
        <v>765.6</v>
      </c>
      <c r="L19" s="191" t="str">
        <f t="shared" si="1"/>
        <v/>
      </c>
      <c r="M19" s="191">
        <f>INDEX(PRICING[NOW Price],MATCH(A19,PRICING[SKU],0))</f>
        <v>727.32</v>
      </c>
      <c r="N19" s="61" t="str">
        <f t="shared" si="2"/>
        <v/>
      </c>
      <c r="O19" s="62">
        <f>INDEX(Rebate_Lookup[Instances],MATCH(A19,Rebate_Lookup[SKU CODE],0))</f>
        <v>3</v>
      </c>
      <c r="P19" s="62" t="str">
        <f>IF(J19="","",INDEX(Rebate_Lookup[Qualified Rebate Tier],MATCH(A19,Rebate_Lookup[SKU CODE],0)))</f>
        <v/>
      </c>
      <c r="Q19" s="61" t="str">
        <f>IF(J19="","",IF(P19=1,INDEX(Rebate_Lookup[REB_MOQ_1],MATCH(A19,Rebate_Lookup[SKU CODE],0)),IF(P19=2,INDEX(Rebate_Lookup[REB_MOQ_2],MATCH(A19,Rebate_Lookup[SKU CODE],0)),IF(P19=3,INDEX(Rebate_Lookup[REB_MOQ_3],MATCH(A19,Rebate_Lookup[SKU CODE],0)),"#err"))))</f>
        <v/>
      </c>
      <c r="R19" s="115" t="str">
        <f t="shared" si="3"/>
        <v/>
      </c>
      <c r="S19" s="115" t="str">
        <f t="shared" si="7"/>
        <v/>
      </c>
      <c r="T19" s="61" t="str">
        <f t="shared" si="8"/>
        <v/>
      </c>
      <c r="U19" s="116" t="str">
        <f t="shared" si="9"/>
        <v/>
      </c>
      <c r="V19" s="122">
        <f>W19/43.56</f>
        <v>0.39990817263544537</v>
      </c>
      <c r="W19" s="92">
        <v>17.420000000000002</v>
      </c>
      <c r="X19" s="89" t="str">
        <f>IF(AND(TRIM(W19)&lt;&gt;"",TRIM(J19)&lt;&gt;""),(J19*87)/W19,"")</f>
        <v/>
      </c>
      <c r="Y19" s="89">
        <f t="shared" si="11"/>
        <v>0</v>
      </c>
      <c r="Z19" s="90">
        <f t="shared" si="12"/>
        <v>0</v>
      </c>
    </row>
    <row r="20" spans="1:26" ht="18.600000000000001" customHeight="1">
      <c r="A20" s="117">
        <v>11013862</v>
      </c>
      <c r="B20" s="112" t="str">
        <f>INDEX(PRICING[Agency/TT],MATCH(A20,PRICING[SKU],0))</f>
        <v>A</v>
      </c>
      <c r="C20" s="112"/>
      <c r="D20" s="214"/>
      <c r="E20" s="197" t="s">
        <v>61</v>
      </c>
      <c r="F20" s="192" t="s">
        <v>62</v>
      </c>
      <c r="G20" s="190" t="s">
        <v>50</v>
      </c>
      <c r="H20" s="190" t="s">
        <v>54</v>
      </c>
      <c r="I20" s="190" t="str">
        <f t="shared" si="0"/>
        <v>✔</v>
      </c>
      <c r="J20" s="86"/>
      <c r="K20" s="191">
        <f>INDEX(PRICING[2025 In-Season Price],MATCH(A20,PRICING[SKU],0))</f>
        <v>262.39999999999998</v>
      </c>
      <c r="L20" s="191" t="str">
        <f t="shared" si="1"/>
        <v/>
      </c>
      <c r="M20" s="191">
        <f>INDEX(PRICING[NOW Price],MATCH(A20,PRICING[SKU],0))</f>
        <v>249.28</v>
      </c>
      <c r="N20" s="61" t="str">
        <f t="shared" si="2"/>
        <v/>
      </c>
      <c r="O20" s="62">
        <f>INDEX(Rebate_Lookup[Instances],MATCH(A20,Rebate_Lookup[SKU CODE],0))</f>
        <v>3</v>
      </c>
      <c r="P20" s="62" t="str">
        <f>IF(J20="","",INDEX(Rebate_Lookup[Qualified Rebate Tier],MATCH(A20,Rebate_Lookup[SKU CODE],0)))</f>
        <v/>
      </c>
      <c r="Q20" s="61" t="str">
        <f>IF(J20="","",IF(P20=1,INDEX(Rebate_Lookup[REB_MOQ_1],MATCH(A20,Rebate_Lookup[SKU CODE],0)),IF(P20=2,INDEX(Rebate_Lookup[REB_MOQ_2],MATCH(A20,Rebate_Lookup[SKU CODE],0)),IF(P20=3,INDEX(Rebate_Lookup[REB_MOQ_3],MATCH(A20,Rebate_Lookup[SKU CODE],0)),"#err"))))</f>
        <v/>
      </c>
      <c r="R20" s="115" t="str">
        <f t="shared" si="3"/>
        <v/>
      </c>
      <c r="S20" s="115" t="str">
        <f t="shared" si="7"/>
        <v/>
      </c>
      <c r="T20" s="61" t="str">
        <f t="shared" si="8"/>
        <v/>
      </c>
      <c r="U20" s="116" t="str">
        <f t="shared" si="9"/>
        <v/>
      </c>
      <c r="V20" s="205">
        <v>3.9</v>
      </c>
      <c r="W20" s="89">
        <f t="shared" ref="W20" si="13">V20*43.56</f>
        <v>169.88400000000001</v>
      </c>
      <c r="X20" s="89" t="str">
        <f>IF(AND(TRIM(W20)&lt;&gt;"",TRIM(J20)&lt;&gt;""),(J20*320)/W20,"")</f>
        <v/>
      </c>
      <c r="Y20" s="89">
        <f t="shared" si="11"/>
        <v>0</v>
      </c>
      <c r="Z20" s="90">
        <f t="shared" si="12"/>
        <v>0</v>
      </c>
    </row>
    <row r="21" spans="1:26" ht="18.600000000000001" customHeight="1">
      <c r="A21" s="117" t="s">
        <v>63</v>
      </c>
      <c r="B21" s="112" t="str">
        <f>INDEX(PRICING[Agency/TT],MATCH(A21,PRICING[SKU],0))</f>
        <v>A</v>
      </c>
      <c r="C21" s="112"/>
      <c r="D21" s="214"/>
      <c r="E21" s="197" t="s">
        <v>64</v>
      </c>
      <c r="F21" s="192" t="s">
        <v>65</v>
      </c>
      <c r="G21" s="190" t="s">
        <v>66</v>
      </c>
      <c r="H21" s="190" t="s">
        <v>54</v>
      </c>
      <c r="I21" s="190" t="str">
        <f t="shared" si="0"/>
        <v>✔</v>
      </c>
      <c r="J21" s="86"/>
      <c r="K21" s="191">
        <v>2092.8000000000002</v>
      </c>
      <c r="L21" s="191" t="str">
        <f t="shared" si="1"/>
        <v/>
      </c>
      <c r="M21" s="191">
        <v>1946.3</v>
      </c>
      <c r="N21" s="61" t="str">
        <f t="shared" si="2"/>
        <v/>
      </c>
      <c r="O21" s="62">
        <f>INDEX(Rebate_Lookup[Instances],MATCH(A21,Rebate_Lookup[SKU CODE],0))</f>
        <v>6</v>
      </c>
      <c r="P21" s="62" t="str">
        <f>IF(J21="","",INDEX(Rebate_Lookup[Qualified Rebate Tier],MATCH(A21,Rebate_Lookup[SKU CODE],0)))</f>
        <v/>
      </c>
      <c r="Q21" s="61"/>
      <c r="R21" s="115" t="str">
        <f t="shared" si="3"/>
        <v/>
      </c>
      <c r="S21" s="202"/>
      <c r="T21" s="61" t="str">
        <f t="shared" si="8"/>
        <v/>
      </c>
      <c r="U21" s="116" t="str">
        <f t="shared" si="9"/>
        <v/>
      </c>
      <c r="V21" s="122">
        <f t="shared" ref="V21:V24" si="14">W21/43.56</f>
        <v>0.13774104683195593</v>
      </c>
      <c r="W21" s="92">
        <v>6</v>
      </c>
      <c r="X21" s="89" t="str">
        <f>IF(AND(TRIM(W21)&lt;&gt;"",TRIM(J21)&lt;&gt;""),(J21*127.999939675621)/W21,"")</f>
        <v/>
      </c>
      <c r="Y21" s="89">
        <f t="shared" si="11"/>
        <v>0</v>
      </c>
      <c r="Z21" s="90">
        <f t="shared" si="12"/>
        <v>0</v>
      </c>
    </row>
    <row r="22" spans="1:26" ht="18.600000000000001" customHeight="1">
      <c r="A22" s="117" t="s">
        <v>63</v>
      </c>
      <c r="B22" s="112" t="str">
        <f>INDEX(PRICING[Agency/TT],MATCH(A22,PRICING[SKU],0))</f>
        <v>A</v>
      </c>
      <c r="C22" s="112"/>
      <c r="D22" s="214"/>
      <c r="E22" s="197" t="s">
        <v>67</v>
      </c>
      <c r="F22" s="192" t="s">
        <v>68</v>
      </c>
      <c r="G22" s="190" t="s">
        <v>66</v>
      </c>
      <c r="H22" s="190" t="s">
        <v>54</v>
      </c>
      <c r="I22" s="190" t="str">
        <f t="shared" si="0"/>
        <v>✔</v>
      </c>
      <c r="J22" s="86"/>
      <c r="K22" s="191">
        <v>2092.8000000000002</v>
      </c>
      <c r="L22" s="191" t="str">
        <f t="shared" si="1"/>
        <v/>
      </c>
      <c r="M22" s="191">
        <v>1862.59</v>
      </c>
      <c r="N22" s="61" t="str">
        <f t="shared" si="2"/>
        <v/>
      </c>
      <c r="O22" s="62">
        <f>INDEX(Rebate_Lookup[Instances],MATCH(A22,Rebate_Lookup[SKU CODE],0))</f>
        <v>6</v>
      </c>
      <c r="P22" s="62" t="str">
        <f>IF(J22="","",INDEX(Rebate_Lookup[Qualified Rebate Tier],MATCH(A22,Rebate_Lookup[SKU CODE],0)))</f>
        <v/>
      </c>
      <c r="Q22" s="158">
        <v>38</v>
      </c>
      <c r="R22" s="115">
        <f t="shared" ref="R22:R26" si="15">IF(OR(Q22=0,Q22=""),"",J22*Q22)</f>
        <v>0</v>
      </c>
      <c r="S22" s="202"/>
      <c r="T22" s="61" t="str">
        <f t="shared" si="8"/>
        <v/>
      </c>
      <c r="U22" s="116" t="str">
        <f t="shared" ref="U22:U26" si="16">IF(AND(J22&lt;&gt;"",J22&gt;0), J22*T22,"")</f>
        <v/>
      </c>
      <c r="V22" s="122">
        <f t="shared" si="14"/>
        <v>0.13774104683195593</v>
      </c>
      <c r="W22" s="92">
        <v>6</v>
      </c>
      <c r="X22" s="89" t="str">
        <f>IF(AND(TRIM(W22)&lt;&gt;"",TRIM(J22)&lt;&gt;""),(J22*127.999939675621)/W22,"")</f>
        <v/>
      </c>
      <c r="Y22" s="89">
        <f t="shared" si="11"/>
        <v>0</v>
      </c>
      <c r="Z22" s="90">
        <f t="shared" si="12"/>
        <v>0</v>
      </c>
    </row>
    <row r="23" spans="1:26" ht="18.600000000000001" customHeight="1">
      <c r="A23" s="117" t="s">
        <v>63</v>
      </c>
      <c r="B23" s="112" t="str">
        <f>INDEX(PRICING[Agency/TT],MATCH(A23,PRICING[SKU],0))</f>
        <v>A</v>
      </c>
      <c r="C23" s="112"/>
      <c r="D23" s="214"/>
      <c r="E23" s="197" t="s">
        <v>69</v>
      </c>
      <c r="F23" s="192" t="s">
        <v>70</v>
      </c>
      <c r="G23" s="190" t="s">
        <v>66</v>
      </c>
      <c r="H23" s="190" t="s">
        <v>54</v>
      </c>
      <c r="I23" s="190" t="str">
        <f t="shared" si="0"/>
        <v>✔</v>
      </c>
      <c r="J23" s="86"/>
      <c r="K23" s="191">
        <v>1796.4</v>
      </c>
      <c r="L23" s="191" t="str">
        <f t="shared" si="1"/>
        <v/>
      </c>
      <c r="M23" s="191">
        <v>1625.74</v>
      </c>
      <c r="N23" s="61" t="str">
        <f t="shared" si="2"/>
        <v/>
      </c>
      <c r="O23" s="62">
        <f>INDEX(Rebate_Lookup[Instances],MATCH(A23,Rebate_Lookup[SKU CODE],0))</f>
        <v>6</v>
      </c>
      <c r="P23" s="62" t="str">
        <f>IF(J23="","",INDEX(Rebate_Lookup[Qualified Rebate Tier],MATCH(A23,Rebate_Lookup[SKU CODE],0)))</f>
        <v/>
      </c>
      <c r="Q23" s="158">
        <v>32</v>
      </c>
      <c r="R23" s="115">
        <f t="shared" si="15"/>
        <v>0</v>
      </c>
      <c r="S23" s="202"/>
      <c r="T23" s="61" t="str">
        <f t="shared" si="8"/>
        <v/>
      </c>
      <c r="U23" s="116" t="str">
        <f t="shared" si="16"/>
        <v/>
      </c>
      <c r="V23" s="122">
        <f t="shared" si="14"/>
        <v>0.13774104683195593</v>
      </c>
      <c r="W23" s="92">
        <v>6</v>
      </c>
      <c r="X23" s="89" t="str">
        <f>IF(AND(TRIM(W23)&lt;&gt;"",TRIM(J23)&lt;&gt;""),(J23*127.999939675621)/W23,"")</f>
        <v/>
      </c>
      <c r="Y23" s="89">
        <f t="shared" si="11"/>
        <v>0</v>
      </c>
      <c r="Z23" s="90">
        <f t="shared" si="12"/>
        <v>0</v>
      </c>
    </row>
    <row r="24" spans="1:26" ht="18.600000000000001" customHeight="1">
      <c r="A24" s="117" t="s">
        <v>63</v>
      </c>
      <c r="B24" s="112" t="str">
        <f>INDEX(PRICING[Agency/TT],MATCH(A24,PRICING[SKU],0))</f>
        <v>A</v>
      </c>
      <c r="C24" s="112"/>
      <c r="D24" s="214"/>
      <c r="E24" s="197" t="s">
        <v>71</v>
      </c>
      <c r="F24" s="192" t="s">
        <v>72</v>
      </c>
      <c r="G24" s="190" t="s">
        <v>66</v>
      </c>
      <c r="H24" s="190" t="s">
        <v>54</v>
      </c>
      <c r="I24" s="190" t="str">
        <f t="shared" si="0"/>
        <v>✔</v>
      </c>
      <c r="J24" s="86"/>
      <c r="K24" s="191">
        <v>1796.4</v>
      </c>
      <c r="L24" s="191" t="str">
        <f t="shared" si="1"/>
        <v/>
      </c>
      <c r="M24" s="191">
        <v>1455.08</v>
      </c>
      <c r="N24" s="61" t="str">
        <f t="shared" si="2"/>
        <v/>
      </c>
      <c r="O24" s="62">
        <f>INDEX(Rebate_Lookup[Instances],MATCH(A24,Rebate_Lookup[SKU CODE],0))</f>
        <v>6</v>
      </c>
      <c r="P24" s="62" t="str">
        <f>IF(J24="","",INDEX(Rebate_Lookup[Qualified Rebate Tier],MATCH(A24,Rebate_Lookup[SKU CODE],0)))</f>
        <v/>
      </c>
      <c r="Q24" s="158">
        <v>131</v>
      </c>
      <c r="R24" s="115">
        <f t="shared" si="15"/>
        <v>0</v>
      </c>
      <c r="S24" s="202"/>
      <c r="T24" s="61" t="str">
        <f t="shared" si="8"/>
        <v/>
      </c>
      <c r="U24" s="116" t="str">
        <f t="shared" si="16"/>
        <v/>
      </c>
      <c r="V24" s="122">
        <f t="shared" si="14"/>
        <v>0.13774104683195593</v>
      </c>
      <c r="W24" s="92">
        <v>6</v>
      </c>
      <c r="X24" s="89" t="str">
        <f>IF(AND(TRIM(W24)&lt;&gt;"",TRIM(J24)&lt;&gt;""),(J24*127.999939675621)/W24,"")</f>
        <v/>
      </c>
      <c r="Y24" s="89">
        <f t="shared" si="11"/>
        <v>0</v>
      </c>
      <c r="Z24" s="90">
        <f t="shared" si="12"/>
        <v>0</v>
      </c>
    </row>
    <row r="25" spans="1:26" ht="18.600000000000001" customHeight="1">
      <c r="A25" s="117" t="s">
        <v>63</v>
      </c>
      <c r="B25" s="112" t="str">
        <f>INDEX(PRICING[Agency/TT],MATCH(A25,PRICING[SKU],0))</f>
        <v>A</v>
      </c>
      <c r="C25" s="112"/>
      <c r="D25" s="214"/>
      <c r="E25" s="197" t="s">
        <v>73</v>
      </c>
      <c r="F25" s="192" t="s">
        <v>74</v>
      </c>
      <c r="G25" s="190" t="s">
        <v>66</v>
      </c>
      <c r="H25" s="190" t="s">
        <v>54</v>
      </c>
      <c r="I25" s="190" t="str">
        <f t="shared" si="0"/>
        <v>✔</v>
      </c>
      <c r="J25" s="86"/>
      <c r="K25" s="191">
        <v>1796.4</v>
      </c>
      <c r="L25" s="191" t="str">
        <f t="shared" si="1"/>
        <v/>
      </c>
      <c r="M25" s="191">
        <v>1455.08</v>
      </c>
      <c r="N25" s="61" t="str">
        <f t="shared" si="2"/>
        <v/>
      </c>
      <c r="O25" s="62">
        <f>INDEX(Rebate_Lookup[Instances],MATCH(A25,Rebate_Lookup[SKU CODE],0))</f>
        <v>6</v>
      </c>
      <c r="P25" s="62" t="str">
        <f>IF(J25="","",INDEX(Rebate_Lookup[Qualified Rebate Tier],MATCH(A25,Rebate_Lookup[SKU CODE],0)))</f>
        <v/>
      </c>
      <c r="Q25" s="158">
        <v>218</v>
      </c>
      <c r="R25" s="115">
        <f t="shared" si="15"/>
        <v>0</v>
      </c>
      <c r="S25" s="202"/>
      <c r="T25" s="61" t="str">
        <f t="shared" si="8"/>
        <v/>
      </c>
      <c r="U25" s="116" t="str">
        <f t="shared" si="16"/>
        <v/>
      </c>
      <c r="V25" s="122">
        <f t="shared" ref="V25:V26" si="17">W25/43.56</f>
        <v>0.13774104683195593</v>
      </c>
      <c r="W25" s="92">
        <v>6</v>
      </c>
      <c r="X25" s="89" t="str">
        <f t="shared" ref="X25:X26" si="18">IF(AND(TRIM(W25)&lt;&gt;"",TRIM(J25)&lt;&gt;""),(J25*127.999939675621)/W25,"")</f>
        <v/>
      </c>
      <c r="Y25" s="89">
        <f t="shared" ref="Y25:Y26" si="19">IF(J25&lt;&gt;0,U25/X25,0)</f>
        <v>0</v>
      </c>
      <c r="Z25" s="90">
        <f t="shared" ref="Z25:Z26" si="20">Y25/43.56</f>
        <v>0</v>
      </c>
    </row>
    <row r="26" spans="1:26" ht="18.600000000000001" customHeight="1">
      <c r="A26" s="117" t="s">
        <v>63</v>
      </c>
      <c r="B26" s="112" t="str">
        <f>INDEX(PRICING[Agency/TT],MATCH(A26,PRICING[SKU],0))</f>
        <v>A</v>
      </c>
      <c r="C26" s="112"/>
      <c r="D26" s="214"/>
      <c r="E26" s="197" t="s">
        <v>75</v>
      </c>
      <c r="F26" s="192" t="s">
        <v>76</v>
      </c>
      <c r="G26" s="190" t="s">
        <v>66</v>
      </c>
      <c r="H26" s="190" t="s">
        <v>54</v>
      </c>
      <c r="I26" s="190" t="str">
        <f t="shared" si="0"/>
        <v>✔</v>
      </c>
      <c r="J26" s="86"/>
      <c r="K26" s="191">
        <v>1796.4</v>
      </c>
      <c r="L26" s="191" t="str">
        <f t="shared" si="1"/>
        <v/>
      </c>
      <c r="M26" s="191">
        <v>1455.08</v>
      </c>
      <c r="N26" s="61" t="str">
        <f t="shared" si="2"/>
        <v/>
      </c>
      <c r="O26" s="62">
        <f>INDEX(Rebate_Lookup[Instances],MATCH(A26,Rebate_Lookup[SKU CODE],0))</f>
        <v>6</v>
      </c>
      <c r="P26" s="62" t="str">
        <f>IF(J26="","",INDEX(Rebate_Lookup[Qualified Rebate Tier],MATCH(A26,Rebate_Lookup[SKU CODE],0)))</f>
        <v/>
      </c>
      <c r="Q26" s="158">
        <v>320</v>
      </c>
      <c r="R26" s="115">
        <f t="shared" si="15"/>
        <v>0</v>
      </c>
      <c r="S26" s="202"/>
      <c r="T26" s="61" t="str">
        <f t="shared" si="8"/>
        <v/>
      </c>
      <c r="U26" s="116" t="str">
        <f t="shared" si="16"/>
        <v/>
      </c>
      <c r="V26" s="122">
        <f t="shared" si="17"/>
        <v>0.13774104683195593</v>
      </c>
      <c r="W26" s="92">
        <v>6</v>
      </c>
      <c r="X26" s="89" t="str">
        <f t="shared" si="18"/>
        <v/>
      </c>
      <c r="Y26" s="89">
        <f t="shared" si="19"/>
        <v>0</v>
      </c>
      <c r="Z26" s="90">
        <f t="shared" si="20"/>
        <v>0</v>
      </c>
    </row>
    <row r="27" spans="1:26" ht="18.600000000000001" customHeight="1">
      <c r="A27" s="117" t="s">
        <v>77</v>
      </c>
      <c r="B27" s="112" t="str">
        <f>INDEX(PRICING[Agency/TT],MATCH(A27,PRICING[SKU],0))</f>
        <v>A</v>
      </c>
      <c r="C27" s="112"/>
      <c r="D27" s="214"/>
      <c r="E27" s="197" t="s">
        <v>78</v>
      </c>
      <c r="F27" s="192" t="s">
        <v>79</v>
      </c>
      <c r="G27" s="190" t="s">
        <v>80</v>
      </c>
      <c r="H27" s="190" t="s">
        <v>54</v>
      </c>
      <c r="I27" s="190" t="str">
        <f t="shared" si="0"/>
        <v>✔</v>
      </c>
      <c r="J27" s="86"/>
      <c r="K27" s="191">
        <f>INDEX(PRICING[2025 In-Season Price],MATCH(A27,PRICING[SKU],0))</f>
        <v>130.5</v>
      </c>
      <c r="L27" s="191" t="str">
        <f t="shared" si="1"/>
        <v/>
      </c>
      <c r="M27" s="191">
        <f>INDEX(PRICING[NOW Price],MATCH(A27,PRICING[SKU],0))</f>
        <v>123.98</v>
      </c>
      <c r="N27" s="61" t="str">
        <f t="shared" si="2"/>
        <v/>
      </c>
      <c r="O27" s="62">
        <f>INDEX(Rebate_Lookup[Instances],MATCH(A27,Rebate_Lookup[SKU CODE],0))</f>
        <v>3</v>
      </c>
      <c r="P27" s="62" t="str">
        <f>IF(J27="","",INDEX(Rebate_Lookup[Qualified Rebate Tier],MATCH(A27,Rebate_Lookup[SKU CODE],0)))</f>
        <v/>
      </c>
      <c r="Q27" s="61" t="str">
        <f>IF(J27="","",IF(P27=1,INDEX(Rebate_Lookup[REB_MOQ_1],MATCH(A27,Rebate_Lookup[SKU CODE],0)),IF(P27=2,INDEX(Rebate_Lookup[REB_MOQ_2],MATCH(A27,Rebate_Lookup[SKU CODE],0)),IF(P27=3,INDEX(Rebate_Lookup[REB_MOQ_3],MATCH(A27,Rebate_Lookup[SKU CODE],0)),"#err"))))</f>
        <v/>
      </c>
      <c r="R27" s="115" t="str">
        <f t="shared" si="3"/>
        <v/>
      </c>
      <c r="S27" s="115" t="str">
        <f t="shared" ref="S27:S28" si="21">IFERROR(SUM($H$40:$H$41)*N27,"")</f>
        <v/>
      </c>
      <c r="T27" s="61" t="str">
        <f t="shared" si="8"/>
        <v/>
      </c>
      <c r="U27" s="116" t="str">
        <f>IF(AND(J27&lt;&gt;"",J27&gt;0), J27*T27,"")</f>
        <v/>
      </c>
      <c r="V27" s="122">
        <f t="shared" ref="V27:V28" si="22">W27/43.56</f>
        <v>3.443526170798898</v>
      </c>
      <c r="W27" s="92">
        <v>150</v>
      </c>
      <c r="X27" s="89" t="str">
        <f>IF(AND(TRIM(W27)&lt;&gt;"",TRIM(J27)&lt;&gt;""),(J27*50)/W27,"")</f>
        <v/>
      </c>
      <c r="Y27" s="89">
        <f t="shared" ref="Y27:Y28" si="23">IF(J27&lt;&gt;0,U27/X27,0)</f>
        <v>0</v>
      </c>
      <c r="Z27" s="90">
        <f t="shared" ref="Z27:Z28" si="24">Y27/43.56</f>
        <v>0</v>
      </c>
    </row>
    <row r="28" spans="1:26" ht="18.600000000000001" customHeight="1">
      <c r="A28" s="117">
        <v>81746257</v>
      </c>
      <c r="B28" s="112" t="str">
        <f>INDEX(PRICING[Agency/TT],MATCH(A28,PRICING[SKU],0))</f>
        <v>A</v>
      </c>
      <c r="C28" s="112"/>
      <c r="D28" s="214"/>
      <c r="E28" s="197" t="s">
        <v>81</v>
      </c>
      <c r="F28" s="194" t="s">
        <v>82</v>
      </c>
      <c r="G28" s="121" t="s">
        <v>83</v>
      </c>
      <c r="H28" s="121" t="s">
        <v>54</v>
      </c>
      <c r="I28" s="121" t="str">
        <f t="shared" si="0"/>
        <v>✔</v>
      </c>
      <c r="J28" s="86"/>
      <c r="K28" s="114">
        <f>INDEX(PRICING[2025 In-Season Price],MATCH(A28,PRICING[SKU],0))</f>
        <v>426.4</v>
      </c>
      <c r="L28" s="61" t="str">
        <f t="shared" ref="L28" si="25">IF(J28*K28= 0,"",J28*K28)</f>
        <v/>
      </c>
      <c r="M28" s="61">
        <f>INDEX(PRICING[NOW Price],MATCH(A28,PRICING[SKU],0))</f>
        <v>405.08</v>
      </c>
      <c r="N28" s="61" t="str">
        <f t="shared" si="2"/>
        <v/>
      </c>
      <c r="O28" s="62">
        <f>INDEX(Rebate_Lookup[Instances],MATCH(A28,Rebate_Lookup[SKU CODE],0))</f>
        <v>3</v>
      </c>
      <c r="P28" s="62" t="str">
        <f>IF(J28="","",INDEX(Rebate_Lookup[Qualified Rebate Tier],MATCH(A28,Rebate_Lookup[SKU CODE],0)))</f>
        <v/>
      </c>
      <c r="Q28" s="61" t="str">
        <f>IF(J28="","",IF(P28=1,INDEX(Rebate_Lookup[REB_MOQ_1],MATCH(A28,Rebate_Lookup[SKU CODE],0)),IF(P28=2,INDEX(Rebate_Lookup[REB_MOQ_2],MATCH(A28,Rebate_Lookup[SKU CODE],0)),IF(P28=3,INDEX(Rebate_Lookup[REB_MOQ_3],MATCH(A28,Rebate_Lookup[SKU CODE],0)),"#err"))))</f>
        <v/>
      </c>
      <c r="R28" s="115" t="str">
        <f t="shared" si="3"/>
        <v/>
      </c>
      <c r="S28" s="115" t="str">
        <f t="shared" si="21"/>
        <v/>
      </c>
      <c r="T28" s="61" t="str">
        <f t="shared" si="8"/>
        <v/>
      </c>
      <c r="U28" s="116" t="str">
        <f>IF(AND(J28&lt;&gt;"",J28&gt;0), J28*T28,"")</f>
        <v/>
      </c>
      <c r="V28" s="122">
        <f t="shared" si="22"/>
        <v>2.2956841138659319E-2</v>
      </c>
      <c r="W28" s="92">
        <v>1</v>
      </c>
      <c r="X28" s="89" t="str">
        <f>IF(AND(TRIM(W28)&lt;&gt;"",TRIM(J28)&lt;&gt;""),(J28*6)/W28,"")</f>
        <v/>
      </c>
      <c r="Y28" s="89">
        <f t="shared" si="23"/>
        <v>0</v>
      </c>
      <c r="Z28" s="90">
        <f t="shared" si="24"/>
        <v>0</v>
      </c>
    </row>
    <row r="29" spans="1:26" ht="18.600000000000001" customHeight="1" thickBot="1">
      <c r="A29" s="117"/>
      <c r="B29" s="112"/>
      <c r="C29" s="112"/>
      <c r="D29" s="214"/>
      <c r="E29" s="197" t="s">
        <v>64</v>
      </c>
      <c r="F29" s="194" t="s">
        <v>84</v>
      </c>
      <c r="G29" s="121"/>
      <c r="H29" s="121"/>
      <c r="I29" s="121"/>
      <c r="J29" s="203"/>
      <c r="K29" s="114"/>
      <c r="L29" s="61"/>
      <c r="M29" s="61"/>
      <c r="N29" s="199"/>
      <c r="O29" s="62"/>
      <c r="P29" s="62"/>
      <c r="Q29" s="61"/>
      <c r="R29" s="115"/>
      <c r="S29" s="115"/>
      <c r="T29" s="61" t="str">
        <f t="shared" si="8"/>
        <v/>
      </c>
      <c r="U29" s="116">
        <f>N29</f>
        <v>0</v>
      </c>
      <c r="V29" s="122"/>
      <c r="W29" s="92"/>
      <c r="X29" s="89"/>
      <c r="Y29" s="89"/>
      <c r="Z29" s="90"/>
    </row>
    <row r="30" spans="1:26" ht="27" customHeight="1" thickTop="1" thickBot="1">
      <c r="A30" s="123"/>
      <c r="B30" s="124"/>
      <c r="C30" s="124"/>
      <c r="D30" s="215"/>
      <c r="E30" s="142"/>
      <c r="F30" s="143"/>
      <c r="G30" s="143"/>
      <c r="H30" s="143"/>
      <c r="I30" s="143"/>
      <c r="J30" s="143"/>
      <c r="K30" s="143"/>
      <c r="L30" s="144">
        <f>SUM(L15:L28)</f>
        <v>0</v>
      </c>
      <c r="M30" s="143"/>
      <c r="N30" s="144">
        <f>SUM(N15:N29)</f>
        <v>0</v>
      </c>
      <c r="O30" s="143"/>
      <c r="P30" s="143"/>
      <c r="Q30" s="143"/>
      <c r="R30" s="144">
        <f>SUM(R15:R28)</f>
        <v>0</v>
      </c>
      <c r="S30" s="144">
        <f>SUM(S15:S29)</f>
        <v>0</v>
      </c>
      <c r="T30" s="143"/>
      <c r="U30" s="144">
        <f>SUM(U15:U29)</f>
        <v>0</v>
      </c>
      <c r="V30" s="143"/>
      <c r="W30" s="143"/>
      <c r="X30" s="143"/>
      <c r="Y30" s="143"/>
      <c r="Z30" s="145"/>
    </row>
    <row r="31" spans="1:26" ht="12.95" customHeight="1" thickTop="1">
      <c r="G31" s="125"/>
      <c r="H31" s="125"/>
      <c r="I31" s="125"/>
      <c r="J31" s="125"/>
      <c r="T31" s="126"/>
      <c r="U31" s="217"/>
      <c r="V31" s="126"/>
      <c r="W31" s="126"/>
      <c r="X31" s="126"/>
      <c r="Y31" s="126"/>
      <c r="Z31" s="126"/>
    </row>
    <row r="32" spans="1:26" ht="21.95" customHeight="1" thickBot="1">
      <c r="E32" s="127" t="s">
        <v>85</v>
      </c>
      <c r="F32" s="127"/>
      <c r="G32" s="127"/>
      <c r="H32" s="127"/>
      <c r="I32" s="127"/>
      <c r="J32" s="127"/>
      <c r="K32" s="125"/>
      <c r="L32" s="125"/>
      <c r="M32" s="125"/>
      <c r="N32" s="126"/>
      <c r="O32" s="126"/>
      <c r="P32" s="126"/>
      <c r="Q32" s="126"/>
      <c r="R32" s="126"/>
      <c r="S32" s="126"/>
      <c r="T32" s="126"/>
      <c r="U32" s="126"/>
      <c r="V32" s="126"/>
      <c r="W32" s="126"/>
      <c r="X32" s="126"/>
      <c r="Y32" s="128"/>
      <c r="Z32" s="128"/>
    </row>
    <row r="33" spans="1:34" ht="32.450000000000003" customHeight="1">
      <c r="E33" s="331" t="s">
        <v>86</v>
      </c>
      <c r="F33" s="331"/>
      <c r="G33" s="331"/>
      <c r="H33" s="331"/>
      <c r="I33" s="331"/>
      <c r="J33" s="331"/>
      <c r="K33" s="125"/>
      <c r="L33" s="125"/>
      <c r="M33" s="270" t="s">
        <v>87</v>
      </c>
      <c r="N33" s="270"/>
      <c r="O33" s="270"/>
      <c r="P33" s="270"/>
      <c r="Q33" s="270"/>
      <c r="R33" s="270"/>
      <c r="S33" s="270"/>
      <c r="T33" s="270"/>
      <c r="U33" s="270"/>
      <c r="V33" s="270"/>
      <c r="W33" s="270"/>
      <c r="X33" s="270"/>
      <c r="Y33" s="270"/>
    </row>
    <row r="34" spans="1:34" ht="14.1" customHeight="1" thickBot="1">
      <c r="J34" s="95"/>
      <c r="K34" s="125"/>
      <c r="L34" s="125"/>
      <c r="M34" s="270"/>
      <c r="N34" s="270"/>
      <c r="O34" s="270"/>
      <c r="P34" s="270"/>
      <c r="Q34" s="270"/>
      <c r="R34" s="270"/>
      <c r="S34" s="270"/>
      <c r="T34" s="270"/>
      <c r="U34" s="270"/>
      <c r="V34" s="270"/>
      <c r="W34" s="270"/>
      <c r="X34" s="270"/>
      <c r="Y34" s="270"/>
    </row>
    <row r="35" spans="1:34" ht="22.5" customHeight="1" thickTop="1">
      <c r="E35" s="256" t="s">
        <v>88</v>
      </c>
      <c r="F35" s="257"/>
      <c r="G35" s="258"/>
      <c r="H35" s="259">
        <f>L30+N30</f>
        <v>0</v>
      </c>
      <c r="I35" s="260"/>
      <c r="J35" s="261"/>
      <c r="K35" s="129"/>
      <c r="L35" s="129"/>
      <c r="M35" s="270"/>
      <c r="N35" s="270"/>
      <c r="O35" s="270"/>
      <c r="P35" s="270"/>
      <c r="Q35" s="270"/>
      <c r="R35" s="270"/>
      <c r="S35" s="270"/>
      <c r="T35" s="270"/>
      <c r="U35" s="270"/>
      <c r="V35" s="270"/>
      <c r="W35" s="270"/>
      <c r="X35" s="270"/>
      <c r="Y35" s="270"/>
    </row>
    <row r="36" spans="1:34" ht="22.5" customHeight="1">
      <c r="E36" s="251" t="s">
        <v>89</v>
      </c>
      <c r="F36" s="252"/>
      <c r="G36" s="253"/>
      <c r="H36" s="319">
        <f>N30</f>
        <v>0</v>
      </c>
      <c r="I36" s="320"/>
      <c r="J36" s="321"/>
      <c r="K36" s="129"/>
      <c r="L36" s="129"/>
      <c r="M36" s="270"/>
      <c r="N36" s="270"/>
      <c r="O36" s="270"/>
      <c r="P36" s="270"/>
      <c r="Q36" s="270"/>
      <c r="R36" s="270"/>
      <c r="S36" s="270"/>
      <c r="T36" s="270"/>
      <c r="U36" s="270"/>
      <c r="V36" s="270"/>
      <c r="W36" s="270"/>
      <c r="X36" s="270"/>
      <c r="Y36" s="270"/>
    </row>
    <row r="37" spans="1:34" ht="22.5" customHeight="1">
      <c r="E37" s="254" t="s">
        <v>90</v>
      </c>
      <c r="F37" s="255"/>
      <c r="G37" s="255"/>
      <c r="H37" s="224" t="e">
        <f>I37/H36</f>
        <v>#DIV/0!</v>
      </c>
      <c r="I37" s="268">
        <f>H35-H36</f>
        <v>0</v>
      </c>
      <c r="J37" s="269"/>
      <c r="K37" s="130"/>
      <c r="L37" s="131"/>
      <c r="M37" s="270"/>
      <c r="N37" s="270"/>
      <c r="O37" s="270"/>
      <c r="P37" s="270"/>
      <c r="Q37" s="270"/>
      <c r="R37" s="270"/>
      <c r="S37" s="270"/>
      <c r="T37" s="270"/>
      <c r="U37" s="270"/>
      <c r="V37" s="270"/>
      <c r="W37" s="270"/>
      <c r="X37" s="270"/>
      <c r="Y37" s="270"/>
    </row>
    <row r="38" spans="1:34" ht="19.5" customHeight="1" thickBot="1">
      <c r="E38" s="246" t="s">
        <v>91</v>
      </c>
      <c r="F38" s="247"/>
      <c r="G38" s="247"/>
      <c r="H38" s="225"/>
      <c r="I38" s="219"/>
      <c r="J38" s="220"/>
      <c r="K38" s="130"/>
      <c r="L38" s="129"/>
      <c r="M38" s="270" t="s">
        <v>92</v>
      </c>
      <c r="N38" s="270"/>
      <c r="O38" s="270"/>
      <c r="P38" s="270"/>
      <c r="Q38" s="270"/>
      <c r="R38" s="270"/>
      <c r="S38" s="270"/>
      <c r="T38" s="270"/>
      <c r="U38" s="270"/>
      <c r="V38" s="270"/>
      <c r="W38" s="270"/>
      <c r="X38" s="270"/>
      <c r="Y38" s="270"/>
    </row>
    <row r="39" spans="1:34" ht="19.5" customHeight="1" thickTop="1">
      <c r="E39" s="312" t="s">
        <v>93</v>
      </c>
      <c r="F39" s="313"/>
      <c r="G39" s="314"/>
      <c r="H39" s="226" t="e">
        <f>I39/$H$36</f>
        <v>#DIV/0!</v>
      </c>
      <c r="I39" s="315">
        <f>R30</f>
        <v>0</v>
      </c>
      <c r="J39" s="316"/>
      <c r="K39" s="130"/>
      <c r="L39" s="129"/>
      <c r="M39" s="270"/>
      <c r="N39" s="270"/>
      <c r="O39" s="270"/>
      <c r="P39" s="270"/>
      <c r="Q39" s="270"/>
      <c r="R39" s="270"/>
      <c r="S39" s="270"/>
      <c r="T39" s="270"/>
      <c r="U39" s="270"/>
      <c r="V39" s="270"/>
      <c r="W39" s="270"/>
      <c r="X39" s="270"/>
      <c r="Y39" s="270"/>
    </row>
    <row r="40" spans="1:34" ht="19.5" customHeight="1">
      <c r="E40" s="327" t="s">
        <v>94</v>
      </c>
      <c r="F40" s="328"/>
      <c r="G40" s="329"/>
      <c r="H40" s="231" t="str">
        <f>IF(U6=TRUE,U5,IF(V6=TRUE,V5,IF(W6=TRUE,W5,IF(X6=TRUE,X5,IF(Y6=TRUE,Y5,IF(Z6=TRUE,Z5,"n/a"))))))</f>
        <v>n/a</v>
      </c>
      <c r="I40" s="266" t="str">
        <f>IFERROR(($N$30-SUM($N$21:$N$26,$N$29))*H40,"n/a")</f>
        <v>n/a</v>
      </c>
      <c r="J40" s="267"/>
      <c r="K40" s="132"/>
      <c r="L40" s="133"/>
      <c r="M40" s="270"/>
      <c r="N40" s="270"/>
      <c r="O40" s="270"/>
      <c r="P40" s="270"/>
      <c r="Q40" s="270"/>
      <c r="R40" s="270"/>
      <c r="S40" s="270"/>
      <c r="T40" s="270"/>
      <c r="U40" s="270"/>
      <c r="V40" s="270"/>
      <c r="W40" s="270"/>
      <c r="X40" s="270"/>
      <c r="Y40" s="270"/>
      <c r="Z40" s="126"/>
    </row>
    <row r="41" spans="1:34" s="104" customFormat="1" ht="19.5" customHeight="1">
      <c r="A41" s="95"/>
      <c r="B41" s="95"/>
      <c r="C41" s="95"/>
      <c r="D41" s="208"/>
      <c r="E41" s="322" t="s">
        <v>95</v>
      </c>
      <c r="F41" s="323"/>
      <c r="G41" s="324"/>
      <c r="H41" s="227" t="str">
        <f>U9</f>
        <v>n/a</v>
      </c>
      <c r="I41" s="264" t="str">
        <f>IFERROR(($N$30-SUM($N$21:$N$26,$N$29))*H41,"n/a")</f>
        <v>n/a</v>
      </c>
      <c r="J41" s="265"/>
      <c r="K41" s="132"/>
      <c r="L41" s="133"/>
      <c r="M41" s="270"/>
      <c r="N41" s="270"/>
      <c r="O41" s="270"/>
      <c r="P41" s="270"/>
      <c r="Q41" s="270"/>
      <c r="R41" s="270"/>
      <c r="S41" s="270"/>
      <c r="T41" s="270"/>
      <c r="U41" s="270"/>
      <c r="V41" s="270"/>
      <c r="W41" s="270"/>
      <c r="X41" s="270"/>
      <c r="Y41" s="270"/>
      <c r="Z41" s="128"/>
      <c r="AA41" s="95"/>
      <c r="AB41" s="95"/>
      <c r="AC41" s="95"/>
      <c r="AD41" s="95"/>
      <c r="AE41" s="95"/>
      <c r="AF41" s="95"/>
      <c r="AG41" s="95"/>
      <c r="AH41" s="95"/>
    </row>
    <row r="42" spans="1:34" s="104" customFormat="1" ht="22.5" customHeight="1" thickBot="1">
      <c r="A42" s="95"/>
      <c r="B42" s="95"/>
      <c r="C42" s="95"/>
      <c r="D42" s="208"/>
      <c r="E42" s="325" t="s">
        <v>96</v>
      </c>
      <c r="F42" s="326"/>
      <c r="G42" s="326"/>
      <c r="H42" s="228" t="e">
        <f>SUM(H39:H41)</f>
        <v>#DIV/0!</v>
      </c>
      <c r="I42" s="262">
        <f>SUM(I39:J41)</f>
        <v>0</v>
      </c>
      <c r="J42" s="263"/>
      <c r="K42" s="105"/>
      <c r="L42" s="133"/>
      <c r="M42" s="270"/>
      <c r="N42" s="270"/>
      <c r="O42" s="270"/>
      <c r="P42" s="270"/>
      <c r="Q42" s="270"/>
      <c r="R42" s="270"/>
      <c r="S42" s="270"/>
      <c r="T42" s="270"/>
      <c r="U42" s="270"/>
      <c r="V42" s="270"/>
      <c r="W42" s="270"/>
      <c r="X42" s="270"/>
      <c r="Y42" s="270"/>
      <c r="Z42" s="128"/>
      <c r="AA42" s="95"/>
      <c r="AB42" s="95"/>
      <c r="AC42" s="95"/>
      <c r="AD42" s="95"/>
      <c r="AE42" s="95"/>
      <c r="AF42" s="95"/>
      <c r="AG42" s="95"/>
      <c r="AH42" s="95"/>
    </row>
    <row r="43" spans="1:34" s="104" customFormat="1" ht="22.5" customHeight="1" thickBot="1">
      <c r="A43" s="95"/>
      <c r="B43" s="95"/>
      <c r="C43" s="95"/>
      <c r="D43" s="208"/>
      <c r="E43" s="221" t="s">
        <v>97</v>
      </c>
      <c r="F43" s="222"/>
      <c r="G43" s="223"/>
      <c r="H43" s="232" t="e">
        <f>I43/H36</f>
        <v>#DIV/0!</v>
      </c>
      <c r="I43" s="310">
        <f>I42+I37</f>
        <v>0</v>
      </c>
      <c r="J43" s="311"/>
      <c r="K43" s="105"/>
      <c r="L43" s="133"/>
      <c r="M43" s="128"/>
      <c r="N43" s="128"/>
      <c r="O43" s="128"/>
      <c r="P43" s="128"/>
      <c r="Q43" s="128"/>
      <c r="R43" s="128"/>
      <c r="S43" s="128"/>
      <c r="T43" s="128"/>
      <c r="U43" s="128"/>
      <c r="V43" s="128"/>
      <c r="W43" s="128"/>
      <c r="X43" s="128"/>
      <c r="Y43" s="128"/>
      <c r="Z43" s="128"/>
      <c r="AA43" s="95"/>
      <c r="AB43" s="95"/>
      <c r="AC43" s="95"/>
      <c r="AD43" s="95"/>
      <c r="AE43" s="95"/>
      <c r="AF43" s="95"/>
      <c r="AG43" s="95"/>
      <c r="AH43" s="95"/>
    </row>
    <row r="44" spans="1:34" s="104" customFormat="1" ht="22.5" customHeight="1" thickBot="1">
      <c r="A44" s="95"/>
      <c r="B44" s="95"/>
      <c r="C44" s="95"/>
      <c r="D44" s="208"/>
      <c r="E44" s="271" t="s">
        <v>98</v>
      </c>
      <c r="F44" s="272"/>
      <c r="G44" s="273"/>
      <c r="H44" s="274">
        <f>H36-I42</f>
        <v>0</v>
      </c>
      <c r="I44" s="275"/>
      <c r="J44" s="276"/>
      <c r="K44" s="105"/>
      <c r="L44" s="105"/>
      <c r="Z44" s="134"/>
      <c r="AA44" s="95"/>
      <c r="AB44" s="95"/>
      <c r="AC44" s="95"/>
      <c r="AD44" s="95"/>
      <c r="AE44" s="95"/>
      <c r="AF44" s="95"/>
      <c r="AG44" s="95"/>
      <c r="AH44" s="95"/>
    </row>
    <row r="45" spans="1:34" s="104" customFormat="1" ht="8.25" customHeight="1" thickTop="1" thickBot="1">
      <c r="A45" s="105"/>
      <c r="B45" s="105"/>
      <c r="C45" s="105"/>
      <c r="D45" s="216"/>
      <c r="E45" s="105"/>
      <c r="F45" s="105"/>
      <c r="G45" s="105"/>
      <c r="H45" s="105"/>
      <c r="I45" s="105"/>
      <c r="J45" s="105"/>
      <c r="K45" s="105"/>
      <c r="L45" s="105"/>
      <c r="M45" s="105"/>
      <c r="N45" s="134"/>
      <c r="O45" s="134"/>
      <c r="P45" s="134">
        <f>SUM(N15:N21,N27:N28)*0.08</f>
        <v>0</v>
      </c>
      <c r="Q45" s="134"/>
      <c r="R45" s="134"/>
      <c r="S45" s="134"/>
      <c r="T45" s="134"/>
      <c r="U45" s="134"/>
      <c r="V45" s="134"/>
      <c r="W45" s="134"/>
      <c r="X45" s="134"/>
      <c r="Y45" s="135"/>
      <c r="Z45" s="135"/>
      <c r="AA45" s="95"/>
      <c r="AB45" s="95"/>
      <c r="AC45" s="95"/>
      <c r="AD45" s="95"/>
      <c r="AE45" s="95"/>
      <c r="AF45" s="95"/>
      <c r="AG45" s="95"/>
      <c r="AH45" s="95"/>
    </row>
    <row r="46" spans="1:34" s="104" customFormat="1" ht="31.5" customHeight="1" thickTop="1" thickBot="1">
      <c r="A46" s="95"/>
      <c r="B46" s="95"/>
      <c r="C46" s="95"/>
      <c r="D46" s="208"/>
      <c r="E46" s="240" t="str">
        <f>CONCATENATE("Estimated MER points to be earned: ",TEXT(IF(AND(I42 &lt;&gt;"", I42 &gt; 0),I42*100, 0),"#,##0"))</f>
        <v>Estimated MER points to be earned: 0</v>
      </c>
      <c r="F46" s="241"/>
      <c r="G46" s="241"/>
      <c r="H46" s="241"/>
      <c r="I46" s="241"/>
      <c r="J46" s="242"/>
      <c r="K46" s="105"/>
      <c r="L46" s="105"/>
      <c r="M46" s="105"/>
      <c r="N46" s="105"/>
      <c r="O46" s="105"/>
      <c r="P46" s="105"/>
      <c r="Q46" s="105"/>
      <c r="R46" s="105"/>
      <c r="S46" s="105"/>
      <c r="T46" s="105"/>
      <c r="U46" s="105"/>
      <c r="W46" s="135"/>
      <c r="X46" s="135"/>
      <c r="Y46" s="135"/>
      <c r="Z46" s="135"/>
      <c r="AA46" s="95"/>
      <c r="AB46" s="95"/>
      <c r="AC46" s="95"/>
      <c r="AD46" s="95"/>
      <c r="AE46" s="95"/>
      <c r="AF46" s="95"/>
      <c r="AG46" s="95"/>
      <c r="AH46" s="95"/>
    </row>
    <row r="47" spans="1:34" s="104" customFormat="1" ht="14.45" customHeight="1" thickTop="1">
      <c r="A47" s="95"/>
      <c r="B47" s="95"/>
      <c r="C47" s="95"/>
      <c r="D47" s="208"/>
      <c r="E47" s="95"/>
      <c r="F47" s="95"/>
      <c r="G47" s="95"/>
      <c r="H47" s="95"/>
      <c r="I47" s="95"/>
      <c r="J47" s="136"/>
      <c r="K47" s="105"/>
      <c r="L47" s="105"/>
      <c r="M47" s="105"/>
      <c r="N47" s="105"/>
      <c r="O47" s="105"/>
      <c r="P47" s="105"/>
      <c r="Q47" s="105"/>
      <c r="R47" s="105"/>
      <c r="S47" s="105"/>
      <c r="T47" s="105"/>
      <c r="U47" s="105"/>
      <c r="W47" s="135"/>
      <c r="X47" s="135"/>
      <c r="Y47" s="135"/>
      <c r="Z47" s="135"/>
      <c r="AA47" s="95"/>
      <c r="AB47" s="95"/>
      <c r="AC47" s="95"/>
      <c r="AD47" s="95"/>
      <c r="AE47" s="95"/>
      <c r="AF47" s="95"/>
      <c r="AG47" s="95"/>
      <c r="AH47" s="95"/>
    </row>
    <row r="48" spans="1:34" s="104" customFormat="1" ht="14.45" customHeight="1">
      <c r="A48" s="95"/>
      <c r="B48" s="95"/>
      <c r="C48" s="95"/>
      <c r="D48" s="208"/>
      <c r="E48" s="95"/>
      <c r="F48" s="95"/>
      <c r="G48" s="95"/>
      <c r="H48" s="95"/>
      <c r="I48" s="95"/>
      <c r="J48" s="136"/>
      <c r="K48" s="105"/>
      <c r="L48" s="105"/>
      <c r="M48" s="105"/>
      <c r="N48" s="105"/>
      <c r="O48" s="105"/>
      <c r="P48" s="105"/>
      <c r="Q48" s="105"/>
      <c r="R48" s="105"/>
      <c r="S48" s="105"/>
      <c r="T48" s="105"/>
      <c r="U48" s="105"/>
      <c r="W48" s="135"/>
      <c r="X48" s="135"/>
      <c r="Y48" s="135"/>
      <c r="Z48" s="135"/>
      <c r="AA48" s="95"/>
      <c r="AB48" s="95"/>
      <c r="AC48" s="95"/>
      <c r="AD48" s="95"/>
      <c r="AE48" s="95"/>
      <c r="AF48" s="95"/>
      <c r="AG48" s="95"/>
      <c r="AH48" s="95"/>
    </row>
    <row r="49" spans="1:34" s="104" customFormat="1" ht="12.95" customHeight="1">
      <c r="A49" s="95"/>
      <c r="B49" s="95"/>
      <c r="C49" s="95"/>
      <c r="D49" s="208"/>
      <c r="E49" s="95"/>
      <c r="F49" s="95"/>
      <c r="G49" s="95"/>
      <c r="H49" s="95"/>
      <c r="I49" s="95"/>
      <c r="J49" s="136"/>
      <c r="K49" s="105"/>
      <c r="L49" s="105"/>
      <c r="M49" s="105"/>
      <c r="N49" s="105"/>
      <c r="O49" s="105"/>
      <c r="P49" s="105"/>
      <c r="Q49" s="105"/>
      <c r="R49" s="105"/>
      <c r="S49" s="105"/>
      <c r="T49" s="105"/>
      <c r="U49" s="105"/>
      <c r="W49" s="135"/>
      <c r="X49" s="135"/>
      <c r="Y49" s="135"/>
      <c r="Z49" s="135"/>
      <c r="AA49" s="95"/>
      <c r="AB49" s="95"/>
      <c r="AC49" s="95"/>
      <c r="AD49" s="95"/>
      <c r="AE49" s="95"/>
      <c r="AF49" s="95"/>
      <c r="AG49" s="95"/>
      <c r="AH49" s="95"/>
    </row>
    <row r="50" spans="1:34" s="104" customFormat="1" ht="12.95" customHeight="1">
      <c r="A50" s="95"/>
      <c r="B50" s="95"/>
      <c r="C50" s="95"/>
      <c r="D50" s="208"/>
      <c r="E50" s="95"/>
      <c r="F50" s="95"/>
      <c r="G50" s="95"/>
      <c r="H50" s="95"/>
      <c r="I50" s="95"/>
      <c r="J50" s="136"/>
      <c r="K50" s="105"/>
      <c r="L50" s="105"/>
      <c r="M50" s="105"/>
      <c r="N50" s="105"/>
      <c r="O50" s="105"/>
      <c r="P50" s="105"/>
      <c r="Q50" s="105"/>
      <c r="R50" s="105"/>
      <c r="S50" s="105"/>
      <c r="T50" s="105"/>
      <c r="U50" s="105"/>
      <c r="W50" s="135"/>
      <c r="X50" s="135"/>
      <c r="Y50" s="135"/>
      <c r="Z50" s="135"/>
      <c r="AA50" s="95"/>
      <c r="AB50" s="95"/>
      <c r="AC50" s="95"/>
      <c r="AD50" s="95"/>
      <c r="AE50" s="95"/>
      <c r="AF50" s="95"/>
      <c r="AG50" s="95"/>
      <c r="AH50" s="95"/>
    </row>
    <row r="52" spans="1:34" ht="12.75" customHeight="1">
      <c r="M52" s="95"/>
      <c r="N52" s="95"/>
      <c r="O52" s="95"/>
      <c r="P52" s="95"/>
      <c r="Q52" s="95"/>
      <c r="R52" s="95"/>
      <c r="S52" s="95"/>
      <c r="T52" s="95"/>
      <c r="U52" s="95"/>
      <c r="V52" s="95"/>
      <c r="W52" s="95"/>
      <c r="X52" s="95"/>
      <c r="Y52" s="95"/>
    </row>
  </sheetData>
  <sheetProtection algorithmName="SHA-512" hashValue="MC4niC23b8MHcQbw1dRxdEa5qZSvDUS9V6v5AIf8wskNF/wd3I7o6kht9Z08SXLYsPoRdv7C3wcqrRosQW7WDA==" saltValue="i804aXxJ4j6SLALP+cEjSg==" spinCount="100000" sheet="1" selectLockedCells="1"/>
  <mergeCells count="51">
    <mergeCell ref="I43:J43"/>
    <mergeCell ref="E39:G39"/>
    <mergeCell ref="I39:J39"/>
    <mergeCell ref="U7:V8"/>
    <mergeCell ref="U9:V9"/>
    <mergeCell ref="H36:J36"/>
    <mergeCell ref="S12:S14"/>
    <mergeCell ref="E41:G41"/>
    <mergeCell ref="E42:G42"/>
    <mergeCell ref="E40:G40"/>
    <mergeCell ref="H12:H14"/>
    <mergeCell ref="T7:T8"/>
    <mergeCell ref="E33:J33"/>
    <mergeCell ref="M33:Y37"/>
    <mergeCell ref="E4:F4"/>
    <mergeCell ref="F1:N1"/>
    <mergeCell ref="R12:R14"/>
    <mergeCell ref="P12:P14"/>
    <mergeCell ref="E12:E14"/>
    <mergeCell ref="F12:F14"/>
    <mergeCell ref="G12:G14"/>
    <mergeCell ref="J12:J14"/>
    <mergeCell ref="K12:K14"/>
    <mergeCell ref="L12:L14"/>
    <mergeCell ref="Q12:Q14"/>
    <mergeCell ref="M12:M14"/>
    <mergeCell ref="N12:N14"/>
    <mergeCell ref="I12:I14"/>
    <mergeCell ref="Z12:Z14"/>
    <mergeCell ref="T12:T14"/>
    <mergeCell ref="U12:U14"/>
    <mergeCell ref="V12:V14"/>
    <mergeCell ref="W12:W14"/>
    <mergeCell ref="X12:X14"/>
    <mergeCell ref="Y12:Y14"/>
    <mergeCell ref="E46:J46"/>
    <mergeCell ref="A12:A14"/>
    <mergeCell ref="E38:G38"/>
    <mergeCell ref="O12:O14"/>
    <mergeCell ref="E36:G36"/>
    <mergeCell ref="E37:G37"/>
    <mergeCell ref="E35:G35"/>
    <mergeCell ref="H35:J35"/>
    <mergeCell ref="I42:J42"/>
    <mergeCell ref="I41:J41"/>
    <mergeCell ref="I40:J40"/>
    <mergeCell ref="I37:J37"/>
    <mergeCell ref="M38:Y42"/>
    <mergeCell ref="E44:G44"/>
    <mergeCell ref="H44:J44"/>
    <mergeCell ref="B12:B14"/>
  </mergeCells>
  <conditionalFormatting sqref="Y15:Z29 R15:S29">
    <cfRule type="cellIs" dxfId="133" priority="12" operator="equal">
      <formula>0</formula>
    </cfRule>
  </conditionalFormatting>
  <conditionalFormatting sqref="T15:T29">
    <cfRule type="expression" dxfId="132" priority="7">
      <formula>ISBLANK($J15)</formula>
    </cfRule>
  </conditionalFormatting>
  <conditionalFormatting sqref="U5:Z5">
    <cfRule type="expression" dxfId="131" priority="5">
      <formula>U$6=TRUE()</formula>
    </cfRule>
  </conditionalFormatting>
  <conditionalFormatting sqref="H38:I38 H37 H39:H42">
    <cfRule type="cellIs" dxfId="130" priority="4" operator="equal">
      <formula>"n/a"</formula>
    </cfRule>
  </conditionalFormatting>
  <conditionalFormatting sqref="I39:I41">
    <cfRule type="cellIs" dxfId="129" priority="3" operator="equal">
      <formula>"n/a"</formula>
    </cfRule>
  </conditionalFormatting>
  <conditionalFormatting sqref="U9:V9">
    <cfRule type="cellIs" dxfId="128" priority="1" stopIfTrue="1" operator="equal">
      <formula>"n/a"</formula>
    </cfRule>
    <cfRule type="cellIs" dxfId="127" priority="2" operator="greaterThan">
      <formula>0</formula>
    </cfRule>
  </conditionalFormatting>
  <dataValidations count="6">
    <dataValidation type="whole" allowBlank="1" showInputMessage="1" showErrorMessage="1" errorTitle="# Units Error" error="Must be greater than 1." sqref="J15:J20 J26:J29" xr:uid="{7154FAA0-935A-459F-9BDC-C5D990DB58D6}">
      <formula1>1</formula1>
      <formula2>9999999</formula2>
    </dataValidation>
    <dataValidation type="whole" allowBlank="1" showInputMessage="1" showErrorMessage="1" errorTitle="# Units Error" error="Must be between 1 and 6." sqref="J21" xr:uid="{E9C192CB-52F2-4115-88E5-147D55B73362}">
      <formula1>1</formula1>
      <formula2>6</formula2>
    </dataValidation>
    <dataValidation type="whole" allowBlank="1" showInputMessage="1" showErrorMessage="1" errorTitle="# Units Error" error="Must be between 7 and 13" sqref="J22" xr:uid="{8F78E96A-F729-4011-89B6-AA360F5834BF}">
      <formula1>7</formula1>
      <formula2>13</formula2>
    </dataValidation>
    <dataValidation type="whole" allowBlank="1" showInputMessage="1" showErrorMessage="1" errorTitle="# Units Error" error="Must be between 14 and 25" sqref="J23" xr:uid="{727490CF-FD43-4BC9-9C4E-1DA11FC6AD19}">
      <formula1>14</formula1>
      <formula2>25</formula2>
    </dataValidation>
    <dataValidation type="whole" allowBlank="1" showInputMessage="1" showErrorMessage="1" errorTitle="# Units Error" error="Must be between 26 and 51" sqref="J24" xr:uid="{9762C82B-1AC2-4B81-B026-99BB62252E42}">
      <formula1>26</formula1>
      <formula2>51</formula2>
    </dataValidation>
    <dataValidation type="whole" allowBlank="1" showInputMessage="1" showErrorMessage="1" errorTitle="# Units Error" error="Must be between 52 and 99" sqref="J25" xr:uid="{BFA56479-3F2E-4A91-89C4-25F5C56739B0}">
      <formula1>52</formula1>
      <formula2>99</formula2>
    </dataValidation>
  </dataValidations>
  <pageMargins left="0.75" right="0.75" top="0.75" bottom="0.5" header="0.5" footer="0.75"/>
  <pageSetup scale="44"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67ABA-C125-4B9A-BECA-0D0056894326}">
  <sheetPr codeName="Sheet6">
    <pageSetUpPr fitToPage="1"/>
  </sheetPr>
  <dimension ref="A1:N88"/>
  <sheetViews>
    <sheetView showGridLines="0" topLeftCell="B1" zoomScale="90" zoomScaleNormal="90" workbookViewId="0">
      <selection activeCell="I40" sqref="I40"/>
    </sheetView>
  </sheetViews>
  <sheetFormatPr defaultColWidth="0" defaultRowHeight="15"/>
  <cols>
    <col min="1" max="1" width="8.7109375" hidden="1" customWidth="1"/>
    <col min="2" max="2" width="3.5703125" customWidth="1"/>
    <col min="3" max="3" width="29.140625" customWidth="1"/>
    <col min="4" max="4" width="13.140625" customWidth="1"/>
    <col min="5" max="5" width="7.140625" style="1" customWidth="1"/>
    <col min="6" max="6" width="12.140625" style="1" customWidth="1"/>
    <col min="7" max="7" width="11.7109375" customWidth="1"/>
    <col min="8" max="9" width="14.140625" customWidth="1"/>
    <col min="10" max="12" width="9.140625" customWidth="1"/>
    <col min="13" max="13" width="0" hidden="1" customWidth="1"/>
    <col min="14" max="16384" width="9.140625" hidden="1"/>
  </cols>
  <sheetData>
    <row r="1" spans="1:13">
      <c r="C1" s="69"/>
      <c r="D1" s="69"/>
      <c r="E1" s="69"/>
      <c r="F1" s="69"/>
      <c r="G1" s="69"/>
      <c r="H1" s="70"/>
      <c r="I1" s="71"/>
      <c r="J1" s="72"/>
      <c r="K1" s="72"/>
      <c r="L1" s="72"/>
    </row>
    <row r="2" spans="1:13" ht="21">
      <c r="C2" s="366" t="str">
        <f>'2025 LL-CALCULATOR - UNITS'!E4</f>
        <v>NAME YOUR DRAFT ORDER HERE:</v>
      </c>
      <c r="D2" s="367"/>
      <c r="E2" s="367"/>
      <c r="F2" s="367"/>
      <c r="G2" s="368"/>
      <c r="H2" s="70"/>
      <c r="I2" s="71"/>
      <c r="J2" s="72"/>
      <c r="K2" s="72"/>
      <c r="L2" s="72"/>
    </row>
    <row r="3" spans="1:13">
      <c r="C3" s="73" t="s">
        <v>10</v>
      </c>
      <c r="D3" s="351" t="str">
        <f>IF('2025 LL-CALCULATOR - UNITS'!F5="","",'2025 LL-CALCULATOR - UNITS'!F5)</f>
        <v/>
      </c>
      <c r="E3" s="352"/>
      <c r="F3" s="352"/>
      <c r="G3" s="353"/>
      <c r="H3" s="70"/>
      <c r="I3" s="71"/>
      <c r="J3" s="72"/>
      <c r="K3" s="72"/>
      <c r="L3" s="72"/>
    </row>
    <row r="4" spans="1:13">
      <c r="C4" s="74" t="s">
        <v>99</v>
      </c>
      <c r="D4" s="351" t="str">
        <f>IF('2025 LL-CALCULATOR - UNITS'!F6="","",'2025 LL-CALCULATOR - UNITS'!F6)</f>
        <v/>
      </c>
      <c r="E4" s="352"/>
      <c r="F4" s="352"/>
      <c r="G4" s="353"/>
      <c r="H4" s="70"/>
      <c r="I4" s="71"/>
      <c r="J4" s="72"/>
      <c r="K4" s="72"/>
      <c r="L4" s="72"/>
    </row>
    <row r="5" spans="1:13">
      <c r="C5" s="75" t="s">
        <v>13</v>
      </c>
      <c r="D5" s="351" t="str">
        <f>IF('2025 LL-CALCULATOR - UNITS'!F7="","",'2025 LL-CALCULATOR - UNITS'!F7)</f>
        <v/>
      </c>
      <c r="E5" s="352"/>
      <c r="F5" s="352"/>
      <c r="G5" s="353"/>
      <c r="H5" s="70"/>
      <c r="I5" s="71"/>
      <c r="J5" s="72"/>
      <c r="K5" s="72"/>
      <c r="L5" s="72"/>
    </row>
    <row r="6" spans="1:13">
      <c r="C6" s="76" t="s">
        <v>16</v>
      </c>
      <c r="D6" s="351" t="str">
        <f>IF('2025 LL-CALCULATOR - UNITS'!F8="","",'2025 LL-CALCULATOR - UNITS'!F8)</f>
        <v/>
      </c>
      <c r="E6" s="352"/>
      <c r="F6" s="352"/>
      <c r="G6" s="353"/>
      <c r="H6" s="70"/>
      <c r="I6" s="71"/>
      <c r="J6" s="72"/>
      <c r="K6" s="72"/>
      <c r="L6" s="72"/>
      <c r="M6" s="31"/>
    </row>
    <row r="7" spans="1:13">
      <c r="C7" s="76" t="s">
        <v>17</v>
      </c>
      <c r="D7" s="351" t="str">
        <f>IF('2025 LL-CALCULATOR - UNITS'!F9="","",'2025 LL-CALCULATOR - UNITS'!F9)</f>
        <v/>
      </c>
      <c r="E7" s="352"/>
      <c r="F7" s="352"/>
      <c r="G7" s="353"/>
      <c r="H7" s="70"/>
      <c r="I7" s="71"/>
      <c r="J7" s="72"/>
      <c r="K7" s="72"/>
      <c r="L7" s="72"/>
    </row>
    <row r="8" spans="1:13" ht="14.25" customHeight="1" thickBot="1">
      <c r="C8" s="77" t="s">
        <v>100</v>
      </c>
      <c r="D8" s="71"/>
      <c r="E8" s="78"/>
      <c r="F8" s="78"/>
      <c r="G8" s="71"/>
      <c r="H8" s="71"/>
      <c r="I8" s="71"/>
      <c r="J8" s="72"/>
      <c r="K8" s="72"/>
      <c r="L8" s="72"/>
      <c r="M8" s="31"/>
    </row>
    <row r="9" spans="1:13" ht="9.9499999999999993" customHeight="1">
      <c r="C9" s="354" t="s">
        <v>24</v>
      </c>
      <c r="D9" s="357" t="s">
        <v>25</v>
      </c>
      <c r="E9" s="360" t="s">
        <v>28</v>
      </c>
      <c r="F9" s="363" t="s">
        <v>101</v>
      </c>
      <c r="G9" s="363" t="s">
        <v>102</v>
      </c>
      <c r="H9" s="371" t="s">
        <v>103</v>
      </c>
      <c r="I9" s="372" t="s">
        <v>104</v>
      </c>
      <c r="J9" s="72"/>
      <c r="K9" s="72"/>
      <c r="L9" s="72"/>
    </row>
    <row r="10" spans="1:13" ht="10.5" customHeight="1">
      <c r="C10" s="355"/>
      <c r="D10" s="358"/>
      <c r="E10" s="361"/>
      <c r="F10" s="364"/>
      <c r="G10" s="364"/>
      <c r="H10" s="364"/>
      <c r="I10" s="373"/>
      <c r="J10" s="72"/>
      <c r="K10" s="72"/>
      <c r="L10" s="72"/>
    </row>
    <row r="11" spans="1:13" ht="3" customHeight="1" thickBot="1">
      <c r="C11" s="356"/>
      <c r="D11" s="359"/>
      <c r="E11" s="362"/>
      <c r="F11" s="365"/>
      <c r="G11" s="365"/>
      <c r="H11" s="365"/>
      <c r="I11" s="374"/>
      <c r="J11" s="72"/>
      <c r="K11" s="72"/>
      <c r="L11" s="72"/>
    </row>
    <row r="12" spans="1:13" ht="15.75" thickTop="1">
      <c r="A12" t="s">
        <v>105</v>
      </c>
      <c r="C12" s="147" t="str">
        <f>'2025 LL-CALCULATOR - UNITS'!F15</f>
        <v>Fame® SC Fungicide</v>
      </c>
      <c r="D12" s="79" t="str">
        <f>'2025 LL-CALCULATOR - UNITS'!G15</f>
        <v>64 oz</v>
      </c>
      <c r="E12" s="80">
        <f>'2025 LL-CALCULATOR - UNITS'!J15</f>
        <v>0</v>
      </c>
      <c r="F12" s="81">
        <f>'2025 LL-CALCULATOR - UNITS'!J15</f>
        <v>0</v>
      </c>
      <c r="G12" s="81">
        <f>'2025 LL-CALCULATOR - UNITS'!M15</f>
        <v>1471.98</v>
      </c>
      <c r="H12" s="82" t="str">
        <f>'2025 LL-CALCULATOR - UNITS'!N15</f>
        <v/>
      </c>
      <c r="I12" s="146" t="str">
        <f>'2025 LL-CALCULATOR - UNITS'!T15</f>
        <v/>
      </c>
      <c r="J12" s="72"/>
      <c r="K12" s="72"/>
      <c r="L12" s="72"/>
    </row>
    <row r="13" spans="1:13">
      <c r="A13">
        <v>11014245</v>
      </c>
      <c r="C13" s="147" t="str">
        <f>'2025 LL-CALCULATOR - UNITS'!F16</f>
        <v>Fame® SC Fungicide</v>
      </c>
      <c r="D13" s="79" t="str">
        <f>'2025 LL-CALCULATOR - UNITS'!G16</f>
        <v>2.5 gal</v>
      </c>
      <c r="E13" s="80">
        <f>'2025 LL-CALCULATOR - UNITS'!J16</f>
        <v>0</v>
      </c>
      <c r="F13" s="81">
        <f>'2025 LL-CALCULATOR - UNITS'!J16</f>
        <v>0</v>
      </c>
      <c r="G13" s="81">
        <f>'2025 LL-CALCULATOR - UNITS'!M16</f>
        <v>6520.42</v>
      </c>
      <c r="H13" s="82" t="str">
        <f>'2025 LL-CALCULATOR - UNITS'!N16</f>
        <v/>
      </c>
      <c r="I13" s="146" t="str">
        <f>'2025 LL-CALCULATOR - UNITS'!T16</f>
        <v/>
      </c>
      <c r="J13" s="72"/>
      <c r="K13" s="72"/>
      <c r="L13" s="72"/>
    </row>
    <row r="14" spans="1:13">
      <c r="C14" s="147" t="str">
        <f>'2025 LL-CALCULATOR - UNITS'!F17</f>
        <v>Celsius® WG</v>
      </c>
      <c r="D14" s="79" t="str">
        <f>'2025 LL-CALCULATOR - UNITS'!G17</f>
        <v>10 oz</v>
      </c>
      <c r="E14" s="80">
        <f>'2025 LL-CALCULATOR - UNITS'!J17</f>
        <v>0</v>
      </c>
      <c r="F14" s="81">
        <f>'2025 LL-CALCULATOR - UNITS'!J17</f>
        <v>0</v>
      </c>
      <c r="G14" s="81">
        <f>'2025 LL-CALCULATOR - UNITS'!M17</f>
        <v>124.64</v>
      </c>
      <c r="H14" s="82" t="str">
        <f>'2025 LL-CALCULATOR - UNITS'!N17</f>
        <v/>
      </c>
      <c r="I14" s="146" t="str">
        <f>'2025 LL-CALCULATOR - UNITS'!T17</f>
        <v/>
      </c>
      <c r="J14" s="72"/>
      <c r="K14" s="72"/>
      <c r="L14" s="72"/>
    </row>
    <row r="15" spans="1:13">
      <c r="C15" s="147" t="str">
        <f>'2025 LL-CALCULATOR - UNITS'!F18</f>
        <v>Celsius® XTRA</v>
      </c>
      <c r="D15" s="79" t="str">
        <f>'2025 LL-CALCULATOR - UNITS'!G18</f>
        <v>10 oz</v>
      </c>
      <c r="E15" s="80">
        <f>'2025 LL-CALCULATOR - UNITS'!J18</f>
        <v>0</v>
      </c>
      <c r="F15" s="81">
        <f>'2025 LL-CALCULATOR - UNITS'!J18</f>
        <v>0</v>
      </c>
      <c r="G15" s="81">
        <f>'2025 LL-CALCULATOR - UNITS'!M18</f>
        <v>158.08000000000001</v>
      </c>
      <c r="H15" s="82" t="str">
        <f>'2025 LL-CALCULATOR - UNITS'!N18</f>
        <v/>
      </c>
      <c r="I15" s="146" t="str">
        <f>'2025 LL-CALCULATOR - UNITS'!T18</f>
        <v/>
      </c>
      <c r="J15" s="72"/>
      <c r="K15" s="72"/>
      <c r="L15" s="72"/>
    </row>
    <row r="16" spans="1:13">
      <c r="C16" s="147" t="str">
        <f>'2025 LL-CALCULATOR - UNITS'!F19</f>
        <v>Revolver®</v>
      </c>
      <c r="D16" s="79" t="str">
        <f>'2025 LL-CALCULATOR - UNITS'!G19</f>
        <v>87 fl oz</v>
      </c>
      <c r="E16" s="80">
        <f>'2025 LL-CALCULATOR - UNITS'!J19</f>
        <v>0</v>
      </c>
      <c r="F16" s="81">
        <f>'2025 LL-CALCULATOR - UNITS'!J19</f>
        <v>0</v>
      </c>
      <c r="G16" s="81">
        <f>'2025 LL-CALCULATOR - UNITS'!M19</f>
        <v>727.32</v>
      </c>
      <c r="H16" s="82" t="str">
        <f>'2025 LL-CALCULATOR - UNITS'!N19</f>
        <v/>
      </c>
      <c r="I16" s="146" t="str">
        <f>'2025 LL-CALCULATOR - UNITS'!T19</f>
        <v/>
      </c>
      <c r="J16" s="72"/>
      <c r="K16" s="72"/>
      <c r="L16" s="72"/>
    </row>
    <row r="17" spans="3:12">
      <c r="C17" s="147" t="str">
        <f>'2025 LL-CALCULATOR - UNITS'!F20</f>
        <v>Solitare® WSL Herbicide</v>
      </c>
      <c r="D17" s="79" t="str">
        <f>'2025 LL-CALCULATOR - UNITS'!G20</f>
        <v>2.5 gal</v>
      </c>
      <c r="E17" s="80">
        <f>'2025 LL-CALCULATOR - UNITS'!J20</f>
        <v>0</v>
      </c>
      <c r="F17" s="81">
        <f>'2025 LL-CALCULATOR - UNITS'!J20</f>
        <v>0</v>
      </c>
      <c r="G17" s="81">
        <f>'2025 LL-CALCULATOR - UNITS'!M20</f>
        <v>249.28</v>
      </c>
      <c r="H17" s="82" t="str">
        <f>'2025 LL-CALCULATOR - UNITS'!N20</f>
        <v/>
      </c>
      <c r="I17" s="146" t="str">
        <f>'2025 LL-CALCULATOR - UNITS'!T20</f>
        <v/>
      </c>
      <c r="J17" s="72"/>
      <c r="K17" s="72"/>
      <c r="L17" s="72"/>
    </row>
    <row r="18" spans="3:12">
      <c r="C18" s="147" t="str">
        <f>'2025 LL-CALCULATOR - UNITS'!F21</f>
        <v>Specticle® FLO (1-6 units)</v>
      </c>
      <c r="D18" s="79" t="str">
        <f>'2025 LL-CALCULATOR - UNITS'!G21</f>
        <v>1 gal</v>
      </c>
      <c r="E18" s="80">
        <f>'2025 LL-CALCULATOR - UNITS'!J21</f>
        <v>0</v>
      </c>
      <c r="F18" s="81">
        <f>'2025 LL-CALCULATOR - UNITS'!J21</f>
        <v>0</v>
      </c>
      <c r="G18" s="81">
        <f>'2025 LL-CALCULATOR - UNITS'!M21</f>
        <v>1946.3</v>
      </c>
      <c r="H18" s="82" t="str">
        <f>'2025 LL-CALCULATOR - UNITS'!N21</f>
        <v/>
      </c>
      <c r="I18" s="146" t="str">
        <f>'2025 LL-CALCULATOR - UNITS'!T21</f>
        <v/>
      </c>
      <c r="J18" s="72"/>
      <c r="K18" s="72"/>
      <c r="L18" s="72"/>
    </row>
    <row r="19" spans="3:12">
      <c r="C19" s="147" t="str">
        <f>'2025 LL-CALCULATOR - UNITS'!F22</f>
        <v>Specticle® FLO (7-13 units)</v>
      </c>
      <c r="D19" s="79" t="str">
        <f>'2025 LL-CALCULATOR - UNITS'!G22</f>
        <v>1 gal</v>
      </c>
      <c r="E19" s="80">
        <f>'2025 LL-CALCULATOR - UNITS'!J22</f>
        <v>0</v>
      </c>
      <c r="F19" s="81">
        <f>'2025 LL-CALCULATOR - UNITS'!J22</f>
        <v>0</v>
      </c>
      <c r="G19" s="81">
        <f>'2025 LL-CALCULATOR - UNITS'!M22</f>
        <v>1862.59</v>
      </c>
      <c r="H19" s="82" t="str">
        <f>'2025 LL-CALCULATOR - UNITS'!N22</f>
        <v/>
      </c>
      <c r="I19" s="146" t="str">
        <f>'2025 LL-CALCULATOR - UNITS'!T22</f>
        <v/>
      </c>
      <c r="J19" s="72"/>
      <c r="K19" s="72"/>
      <c r="L19" s="72"/>
    </row>
    <row r="20" spans="3:12">
      <c r="C20" s="147" t="str">
        <f>'2025 LL-CALCULATOR - UNITS'!F23</f>
        <v>Specticle® FLO (14-25 units)</v>
      </c>
      <c r="D20" s="79" t="str">
        <f>'2025 LL-CALCULATOR - UNITS'!G23</f>
        <v>1 gal</v>
      </c>
      <c r="E20" s="80">
        <f>'2025 LL-CALCULATOR - UNITS'!J23</f>
        <v>0</v>
      </c>
      <c r="F20" s="81">
        <f>'2025 LL-CALCULATOR - UNITS'!J23</f>
        <v>0</v>
      </c>
      <c r="G20" s="81">
        <f>'2025 LL-CALCULATOR - UNITS'!M23</f>
        <v>1625.74</v>
      </c>
      <c r="H20" s="82" t="str">
        <f>'2025 LL-CALCULATOR - UNITS'!N23</f>
        <v/>
      </c>
      <c r="I20" s="146" t="str">
        <f>'2025 LL-CALCULATOR - UNITS'!T23</f>
        <v/>
      </c>
      <c r="J20" s="72"/>
      <c r="K20" s="72"/>
      <c r="L20" s="72"/>
    </row>
    <row r="21" spans="3:12">
      <c r="C21" s="147" t="str">
        <f>'2025 LL-CALCULATOR - UNITS'!F24</f>
        <v>Specticle® FLO (26-51 units)</v>
      </c>
      <c r="D21" s="79" t="str">
        <f>'2025 LL-CALCULATOR - UNITS'!G24</f>
        <v>1 gal</v>
      </c>
      <c r="E21" s="80">
        <f>'2025 LL-CALCULATOR - UNITS'!J24</f>
        <v>0</v>
      </c>
      <c r="F21" s="81">
        <f>'2025 LL-CALCULATOR - UNITS'!J24</f>
        <v>0</v>
      </c>
      <c r="G21" s="81">
        <f>'2025 LL-CALCULATOR - UNITS'!M24</f>
        <v>1455.08</v>
      </c>
      <c r="H21" s="82" t="str">
        <f>'2025 LL-CALCULATOR - UNITS'!N24</f>
        <v/>
      </c>
      <c r="I21" s="146" t="str">
        <f>'2025 LL-CALCULATOR - UNITS'!T24</f>
        <v/>
      </c>
      <c r="J21" s="72"/>
      <c r="K21" s="72"/>
      <c r="L21" s="72"/>
    </row>
    <row r="22" spans="3:12">
      <c r="C22" s="147" t="str">
        <f>'2025 LL-CALCULATOR - UNITS'!F25</f>
        <v>Specticle® FLO (52-99 units)</v>
      </c>
      <c r="D22" s="79" t="str">
        <f>'2025 LL-CALCULATOR - UNITS'!G25</f>
        <v>1 gal</v>
      </c>
      <c r="E22" s="80">
        <f>'2025 LL-CALCULATOR - UNITS'!J25</f>
        <v>0</v>
      </c>
      <c r="F22" s="81">
        <f>'2025 LL-CALCULATOR - UNITS'!J25</f>
        <v>0</v>
      </c>
      <c r="G22" s="81">
        <f>'2025 LL-CALCULATOR - UNITS'!M25</f>
        <v>1455.08</v>
      </c>
      <c r="H22" s="82" t="str">
        <f>'2025 LL-CALCULATOR - UNITS'!N25</f>
        <v/>
      </c>
      <c r="I22" s="146" t="str">
        <f>'2025 LL-CALCULATOR - UNITS'!T25</f>
        <v/>
      </c>
      <c r="J22" s="72"/>
      <c r="K22" s="72"/>
      <c r="L22" s="72"/>
    </row>
    <row r="23" spans="3:12">
      <c r="C23" s="147" t="str">
        <f>'2025 LL-CALCULATOR - UNITS'!F26</f>
        <v>Specticle® FLO (100+ units)</v>
      </c>
      <c r="D23" s="79" t="str">
        <f>'2025 LL-CALCULATOR - UNITS'!G26</f>
        <v>1 gal</v>
      </c>
      <c r="E23" s="80">
        <f>'2025 LL-CALCULATOR - UNITS'!J26</f>
        <v>0</v>
      </c>
      <c r="F23" s="81">
        <f>'2025 LL-CALCULATOR - UNITS'!J26</f>
        <v>0</v>
      </c>
      <c r="G23" s="81">
        <f>'2025 LL-CALCULATOR - UNITS'!M26</f>
        <v>1455.08</v>
      </c>
      <c r="H23" s="82" t="str">
        <f>'2025 LL-CALCULATOR - UNITS'!N26</f>
        <v/>
      </c>
      <c r="I23" s="146" t="str">
        <f>'2025 LL-CALCULATOR - UNITS'!T26</f>
        <v/>
      </c>
      <c r="J23" s="72"/>
      <c r="K23" s="72"/>
      <c r="L23" s="72"/>
    </row>
    <row r="24" spans="3:12">
      <c r="C24" s="147" t="str">
        <f>'2025 LL-CALCULATOR - UNITS'!F27</f>
        <v>Specticle® G</v>
      </c>
      <c r="D24" s="79" t="str">
        <f>'2025 LL-CALCULATOR - UNITS'!G27</f>
        <v>50 lb</v>
      </c>
      <c r="E24" s="80">
        <f>'2025 LL-CALCULATOR - UNITS'!J27</f>
        <v>0</v>
      </c>
      <c r="F24" s="81">
        <f>'2025 LL-CALCULATOR - UNITS'!J27</f>
        <v>0</v>
      </c>
      <c r="G24" s="81">
        <f>'2025 LL-CALCULATOR - UNITS'!M27</f>
        <v>123.98</v>
      </c>
      <c r="H24" s="82" t="str">
        <f>'2025 LL-CALCULATOR - UNITS'!N27</f>
        <v/>
      </c>
      <c r="I24" s="146" t="str">
        <f>'2025 LL-CALCULATOR - UNITS'!T27</f>
        <v/>
      </c>
      <c r="J24" s="72"/>
      <c r="K24" s="72"/>
      <c r="L24" s="72"/>
    </row>
    <row r="25" spans="3:12">
      <c r="C25" s="147" t="str">
        <f>'2025 LL-CALCULATOR - UNITS'!F28</f>
        <v>Tribute® Total</v>
      </c>
      <c r="D25" s="79" t="str">
        <f>'2025 LL-CALCULATOR - UNITS'!G28</f>
        <v>6 oz</v>
      </c>
      <c r="E25" s="80">
        <f>'2025 LL-CALCULATOR - UNITS'!J28</f>
        <v>0</v>
      </c>
      <c r="F25" s="81">
        <f>'2025 LL-CALCULATOR - UNITS'!J28</f>
        <v>0</v>
      </c>
      <c r="G25" s="81">
        <f>'2025 LL-CALCULATOR - UNITS'!M28</f>
        <v>405.08</v>
      </c>
      <c r="H25" s="82" t="str">
        <f>'2025 LL-CALCULATOR - UNITS'!N28</f>
        <v/>
      </c>
      <c r="I25" s="146" t="str">
        <f>'2025 LL-CALCULATOR - UNITS'!T28</f>
        <v/>
      </c>
      <c r="J25" s="72"/>
      <c r="K25" s="72"/>
      <c r="L25" s="72"/>
    </row>
    <row r="26" spans="3:12" ht="15.75" thickBot="1">
      <c r="C26" s="185" t="str">
        <f>'2025 LL-CALCULATOR - UNITS'!F29</f>
        <v>Durentis FAW Program:</v>
      </c>
      <c r="D26" s="201"/>
      <c r="E26" s="186"/>
      <c r="F26" s="187"/>
      <c r="G26" s="187"/>
      <c r="H26" s="200">
        <f>'2025 LL-CALCULATOR - UNITS'!N29</f>
        <v>0</v>
      </c>
      <c r="I26" s="188"/>
      <c r="J26" s="72"/>
      <c r="K26" s="72"/>
      <c r="L26" s="72"/>
    </row>
    <row r="27" spans="3:12" ht="15.75" thickBot="1">
      <c r="C27" s="83"/>
      <c r="D27" s="83"/>
      <c r="E27" s="83"/>
      <c r="F27" s="83"/>
      <c r="G27" s="84"/>
      <c r="H27" s="189">
        <f>SUM(H12:H25)</f>
        <v>0</v>
      </c>
      <c r="I27" s="85"/>
      <c r="J27" s="72"/>
      <c r="K27" s="72"/>
      <c r="L27" s="72"/>
    </row>
    <row r="28" spans="3:12" ht="16.5" thickBot="1">
      <c r="C28" s="94" t="s">
        <v>85</v>
      </c>
      <c r="D28" s="94"/>
      <c r="E28" s="94"/>
      <c r="F28" s="94"/>
      <c r="G28" s="94"/>
      <c r="H28" s="94"/>
      <c r="I28" s="94"/>
      <c r="J28" s="72"/>
      <c r="K28" s="72"/>
      <c r="L28" s="72"/>
    </row>
    <row r="29" spans="3:12" ht="15.75" customHeight="1" thickTop="1">
      <c r="C29" s="369" t="s">
        <v>86</v>
      </c>
      <c r="D29" s="369"/>
      <c r="E29" s="369"/>
      <c r="F29" s="369"/>
      <c r="G29" s="369"/>
      <c r="H29" s="369"/>
      <c r="I29" s="369"/>
      <c r="J29" s="72"/>
      <c r="K29" s="72"/>
      <c r="L29" s="72"/>
    </row>
    <row r="30" spans="3:12" ht="15.75" thickBot="1">
      <c r="C30" s="370"/>
      <c r="D30" s="370"/>
      <c r="E30" s="370"/>
      <c r="F30" s="370"/>
      <c r="G30" s="370"/>
      <c r="H30" s="370"/>
      <c r="I30" s="370"/>
      <c r="J30" s="72"/>
      <c r="K30" s="72"/>
      <c r="L30" s="72"/>
    </row>
    <row r="31" spans="3:12" ht="19.5" customHeight="1" thickTop="1">
      <c r="C31" s="385" t="str">
        <f>'2025 LL-CALCULATOR - UNITS'!E35</f>
        <v>Estimated Total Before Off Invoice Discounts:</v>
      </c>
      <c r="D31" s="386"/>
      <c r="E31" s="386"/>
      <c r="F31" s="387"/>
      <c r="G31" s="388">
        <f>'2025 LL-CALCULATOR - UNITS'!H35</f>
        <v>0</v>
      </c>
      <c r="H31" s="389"/>
      <c r="I31" s="72"/>
      <c r="J31" s="72"/>
      <c r="K31" s="72"/>
      <c r="L31" s="72"/>
    </row>
    <row r="32" spans="3:12" ht="19.5" customHeight="1">
      <c r="C32" s="382" t="str">
        <f>'2025 LL-CALCULATOR - UNITS'!E36</f>
        <v>Estimated Invoice Total:</v>
      </c>
      <c r="D32" s="383"/>
      <c r="E32" s="383"/>
      <c r="F32" s="384"/>
      <c r="G32" s="377">
        <f>'2025 LL-CALCULATOR - UNITS'!H36</f>
        <v>0</v>
      </c>
      <c r="H32" s="378"/>
      <c r="I32" s="72"/>
      <c r="J32" s="72"/>
      <c r="K32" s="72"/>
      <c r="L32" s="72"/>
    </row>
    <row r="33" spans="3:14" ht="18" customHeight="1">
      <c r="C33" s="379" t="str">
        <f>'2025 LL-CALCULATOR - UNITS'!E37</f>
        <v>Estimated Off-Invoice Discount:</v>
      </c>
      <c r="D33" s="380"/>
      <c r="E33" s="380"/>
      <c r="F33" s="381"/>
      <c r="G33" s="233" t="e">
        <f>'2025 LL-CALCULATOR - UNITS'!H37</f>
        <v>#DIV/0!</v>
      </c>
      <c r="H33" s="67">
        <f>'2025 LL-CALCULATOR - UNITS'!I37</f>
        <v>0</v>
      </c>
      <c r="I33" s="72"/>
      <c r="J33" s="72"/>
      <c r="K33" s="72"/>
      <c r="L33" s="72"/>
    </row>
    <row r="34" spans="3:14" ht="18" customHeight="1">
      <c r="C34" s="375" t="str">
        <f>'2025 LL-CALCULATOR - UNITS'!E38</f>
        <v>Volume Buy Rebate, Envu Extras &amp; Tier Rebates:</v>
      </c>
      <c r="D34" s="376"/>
      <c r="E34" s="376"/>
      <c r="F34" s="148"/>
      <c r="G34" s="234"/>
      <c r="H34" s="93"/>
      <c r="I34" s="72"/>
      <c r="J34" s="72"/>
      <c r="K34" s="72"/>
      <c r="L34" s="72"/>
    </row>
    <row r="35" spans="3:14" ht="18" customHeight="1">
      <c r="C35" s="333" t="str">
        <f>'2025 LL-CALCULATOR - UNITS'!E39</f>
        <v>Estimated Total Volume Buy Rebate:</v>
      </c>
      <c r="D35" s="334"/>
      <c r="E35" s="334"/>
      <c r="F35" s="334"/>
      <c r="G35" s="235" t="e">
        <f>'2025 LL-CALCULATOR - UNITS'!H39</f>
        <v>#DIV/0!</v>
      </c>
      <c r="H35" s="68">
        <f>'2025 LL-CALCULATOR - UNITS'!I39</f>
        <v>0</v>
      </c>
      <c r="I35" s="72"/>
      <c r="J35" s="72"/>
      <c r="K35" s="72"/>
      <c r="L35" s="72"/>
    </row>
    <row r="36" spans="3:14" ht="18" customHeight="1">
      <c r="C36" s="333" t="str">
        <f>'2025 LL-CALCULATOR - UNITS'!E40</f>
        <v>Estimated Tier Rebate Amount:</v>
      </c>
      <c r="D36" s="334"/>
      <c r="E36" s="334"/>
      <c r="F36" s="334"/>
      <c r="G36" s="235" t="str">
        <f>'2025 LL-CALCULATOR - UNITS'!H40</f>
        <v>n/a</v>
      </c>
      <c r="H36" s="68" t="str">
        <f>'2025 LL-CALCULATOR - UNITS'!I40</f>
        <v>n/a</v>
      </c>
      <c r="I36" s="72"/>
      <c r="J36" s="72"/>
      <c r="K36" s="72"/>
      <c r="L36" s="72"/>
    </row>
    <row r="37" spans="3:14" ht="18" customHeight="1" thickBot="1">
      <c r="C37" s="341" t="str">
        <f>'2025 LL-CALCULATOR - UNITS'!E41</f>
        <v>Estimated Volume Buy Rebate (5 or more products):</v>
      </c>
      <c r="D37" s="342"/>
      <c r="E37" s="342"/>
      <c r="F37" s="342"/>
      <c r="G37" s="236" t="str">
        <f>'2025 LL-CALCULATOR - UNITS'!H41</f>
        <v>n/a</v>
      </c>
      <c r="H37" s="149" t="str">
        <f>'2025 LL-CALCULATOR - UNITS'!I41</f>
        <v>n/a</v>
      </c>
      <c r="I37" s="72"/>
      <c r="J37" s="72"/>
      <c r="K37" s="72"/>
      <c r="L37" s="72"/>
    </row>
    <row r="38" spans="3:14" ht="18" customHeight="1" thickBot="1">
      <c r="C38" s="338" t="str">
        <f>'2025 LL-CALCULATOR - UNITS'!E42</f>
        <v>Estimated Total Rebate:</v>
      </c>
      <c r="D38" s="339"/>
      <c r="E38" s="339"/>
      <c r="F38" s="340"/>
      <c r="G38" s="237" t="e">
        <f>'2025 LL-CALCULATOR - UNITS'!H42</f>
        <v>#DIV/0!</v>
      </c>
      <c r="H38" s="229">
        <f>'2025 LL-CALCULATOR - UNITS'!I42</f>
        <v>0</v>
      </c>
      <c r="I38" s="72"/>
      <c r="J38" s="72"/>
      <c r="K38" s="72"/>
      <c r="L38" s="72"/>
    </row>
    <row r="39" spans="3:14" ht="21.75" customHeight="1" thickBot="1">
      <c r="C39" s="345" t="str">
        <f>'2025 LL-CALCULATOR - UNITS'!E43</f>
        <v xml:space="preserve">Estimated Total Savings (Rebates + Off Invoice Discounts):  </v>
      </c>
      <c r="D39" s="346"/>
      <c r="E39" s="346"/>
      <c r="F39" s="347"/>
      <c r="G39" s="239" t="e">
        <f>'2025 LL-CALCULATOR - UNITS'!H43</f>
        <v>#DIV/0!</v>
      </c>
      <c r="H39" s="238">
        <f>'2025 LL-CALCULATOR - UNITS'!I43</f>
        <v>0</v>
      </c>
      <c r="I39" s="72"/>
      <c r="J39" s="72"/>
      <c r="K39" s="72"/>
      <c r="L39" s="72"/>
    </row>
    <row r="40" spans="3:14" ht="21.75" customHeight="1" thickBot="1">
      <c r="C40" s="335" t="str">
        <f>'2025 LL-CALCULATOR - UNITS'!E44</f>
        <v>Estimated Net Total after Rebates &amp; Discounts:</v>
      </c>
      <c r="D40" s="336"/>
      <c r="E40" s="336"/>
      <c r="F40" s="337"/>
      <c r="G40" s="343">
        <f>'2025 LL-CALCULATOR - UNITS'!H44</f>
        <v>0</v>
      </c>
      <c r="H40" s="344"/>
      <c r="I40" s="72"/>
      <c r="J40" s="72"/>
      <c r="K40" s="72"/>
      <c r="L40" s="72"/>
    </row>
    <row r="41" spans="3:14" ht="9" customHeight="1" thickTop="1" thickBot="1">
      <c r="C41" s="218"/>
      <c r="D41" s="218"/>
      <c r="E41" s="218"/>
      <c r="F41" s="218"/>
      <c r="G41" s="230"/>
      <c r="H41" s="230"/>
      <c r="I41" s="72"/>
      <c r="J41" s="72"/>
      <c r="K41" s="72"/>
      <c r="L41" s="72"/>
    </row>
    <row r="42" spans="3:14" ht="21.75" customHeight="1" thickBot="1">
      <c r="C42" s="348" t="str">
        <f>'2025 LL-CALCULATOR - UNITS'!E46</f>
        <v>Estimated MER points to be earned: 0</v>
      </c>
      <c r="D42" s="349"/>
      <c r="E42" s="349"/>
      <c r="F42" s="349"/>
      <c r="G42" s="349"/>
      <c r="H42" s="350"/>
      <c r="I42" s="72"/>
      <c r="J42" s="72"/>
      <c r="K42" s="72"/>
      <c r="L42" s="72"/>
    </row>
    <row r="44" spans="3:14" ht="15" customHeight="1">
      <c r="C44" s="332" t="s">
        <v>87</v>
      </c>
      <c r="D44" s="332"/>
      <c r="E44" s="332"/>
      <c r="F44" s="332"/>
      <c r="G44" s="332"/>
      <c r="H44" s="332"/>
      <c r="I44" s="332"/>
      <c r="J44" s="126"/>
      <c r="K44" s="126"/>
      <c r="L44" s="126"/>
      <c r="M44" s="126"/>
      <c r="N44" s="126"/>
    </row>
    <row r="45" spans="3:14">
      <c r="C45" s="332"/>
      <c r="D45" s="332"/>
      <c r="E45" s="332"/>
      <c r="F45" s="332"/>
      <c r="G45" s="332"/>
      <c r="H45" s="332"/>
      <c r="I45" s="332"/>
      <c r="J45" s="126"/>
      <c r="K45" s="126"/>
      <c r="L45" s="126"/>
      <c r="M45" s="126"/>
      <c r="N45" s="126"/>
    </row>
    <row r="46" spans="3:14">
      <c r="C46" s="332"/>
      <c r="D46" s="332"/>
      <c r="E46" s="332"/>
      <c r="F46" s="332"/>
      <c r="G46" s="332"/>
      <c r="H46" s="332"/>
      <c r="I46" s="332"/>
      <c r="J46" s="126"/>
      <c r="K46" s="126"/>
      <c r="L46" s="126"/>
      <c r="M46" s="126"/>
      <c r="N46" s="126"/>
    </row>
    <row r="47" spans="3:14">
      <c r="C47" s="332"/>
      <c r="D47" s="332"/>
      <c r="E47" s="332"/>
      <c r="F47" s="332"/>
      <c r="G47" s="332"/>
      <c r="H47" s="332"/>
      <c r="I47" s="332"/>
      <c r="J47" s="126"/>
      <c r="K47" s="126"/>
      <c r="L47" s="126"/>
      <c r="M47" s="126"/>
      <c r="N47" s="126"/>
    </row>
    <row r="48" spans="3:14">
      <c r="C48" s="332"/>
      <c r="D48" s="332"/>
      <c r="E48" s="332"/>
      <c r="F48" s="332"/>
      <c r="G48" s="332"/>
      <c r="H48" s="332"/>
      <c r="I48" s="332"/>
      <c r="J48" s="126"/>
      <c r="K48" s="126"/>
      <c r="L48" s="126"/>
      <c r="M48" s="126"/>
      <c r="N48" s="126"/>
    </row>
    <row r="49" spans="3:14" ht="39.75" customHeight="1">
      <c r="C49" s="332"/>
      <c r="D49" s="332"/>
      <c r="E49" s="332"/>
      <c r="F49" s="332"/>
      <c r="G49" s="332"/>
      <c r="H49" s="332"/>
      <c r="I49" s="332"/>
      <c r="J49" s="126"/>
      <c r="K49" s="126"/>
      <c r="L49" s="126"/>
      <c r="M49" s="126"/>
      <c r="N49" s="126"/>
    </row>
    <row r="50" spans="3:14">
      <c r="C50" s="332"/>
      <c r="D50" s="332"/>
      <c r="E50" s="332"/>
      <c r="F50" s="332"/>
      <c r="G50" s="332"/>
      <c r="H50" s="332"/>
      <c r="I50" s="332"/>
    </row>
    <row r="51" spans="3:14">
      <c r="C51" s="332"/>
      <c r="D51" s="332"/>
      <c r="E51" s="332"/>
      <c r="F51" s="332"/>
      <c r="G51" s="332"/>
      <c r="H51" s="332"/>
      <c r="I51" s="332"/>
    </row>
    <row r="52" spans="3:14">
      <c r="C52" s="332"/>
      <c r="D52" s="332"/>
      <c r="E52" s="332"/>
      <c r="F52" s="332"/>
      <c r="G52" s="332"/>
      <c r="H52" s="332"/>
      <c r="I52" s="332"/>
    </row>
    <row r="53" spans="3:14" ht="15" customHeight="1">
      <c r="C53" s="332" t="s">
        <v>92</v>
      </c>
      <c r="D53" s="332"/>
      <c r="E53" s="332"/>
      <c r="F53" s="332"/>
      <c r="G53" s="332"/>
      <c r="H53" s="332"/>
      <c r="I53" s="332"/>
    </row>
    <row r="54" spans="3:14">
      <c r="C54" s="332"/>
      <c r="D54" s="332"/>
      <c r="E54" s="332"/>
      <c r="F54" s="332"/>
      <c r="G54" s="332"/>
      <c r="H54" s="332"/>
      <c r="I54" s="332"/>
    </row>
    <row r="55" spans="3:14" ht="15" customHeight="1">
      <c r="C55" s="332"/>
      <c r="D55" s="332"/>
      <c r="E55" s="332"/>
      <c r="F55" s="332"/>
      <c r="G55" s="332"/>
      <c r="H55" s="332"/>
      <c r="I55" s="332"/>
      <c r="J55" s="150"/>
      <c r="K55" s="150"/>
      <c r="L55" s="150"/>
      <c r="M55" s="150"/>
      <c r="N55" s="150"/>
    </row>
    <row r="56" spans="3:14" ht="27" customHeight="1">
      <c r="C56" s="332"/>
      <c r="D56" s="332"/>
      <c r="E56" s="332"/>
      <c r="F56" s="332"/>
      <c r="G56" s="332"/>
      <c r="H56" s="332"/>
      <c r="I56" s="332"/>
      <c r="J56" s="150"/>
      <c r="K56" s="150"/>
      <c r="L56" s="150"/>
      <c r="M56" s="150"/>
      <c r="N56" s="150"/>
    </row>
    <row r="57" spans="3:14">
      <c r="C57" s="332"/>
      <c r="D57" s="332"/>
      <c r="E57" s="332"/>
      <c r="F57" s="332"/>
      <c r="G57" s="332"/>
      <c r="H57" s="332"/>
      <c r="I57" s="332"/>
      <c r="J57" s="150"/>
      <c r="K57" s="150"/>
      <c r="L57" s="150"/>
      <c r="M57" s="150"/>
      <c r="N57" s="150"/>
    </row>
    <row r="58" spans="3:14">
      <c r="C58" s="150"/>
      <c r="D58" s="150"/>
      <c r="E58" s="150"/>
      <c r="F58" s="150"/>
      <c r="G58" s="150"/>
      <c r="H58" s="150"/>
      <c r="I58" s="150"/>
      <c r="J58" s="150"/>
      <c r="K58" s="150"/>
      <c r="L58" s="150"/>
      <c r="M58" s="150"/>
      <c r="N58" s="150"/>
    </row>
    <row r="78" ht="8.4499999999999993" customHeight="1"/>
    <row r="79" ht="12" customHeight="1"/>
    <row r="80" ht="9" customHeight="1"/>
    <row r="88" ht="17.45" customHeight="1"/>
  </sheetData>
  <sheetProtection algorithmName="SHA-512" hashValue="cft6qfuzNfZSVNdJjAreaf61rogOFF02G1WY1VjP6XnPWgxT6XLePTpCGiL70V/dwhtQ9oM6V0M9dYRhg/c1ZQ==" saltValue="QCze0MiVSbkwvKnslqQevA==" spinCount="100000" sheet="1" selectLockedCells="1"/>
  <mergeCells count="30">
    <mergeCell ref="C35:F35"/>
    <mergeCell ref="C29:I30"/>
    <mergeCell ref="H9:H11"/>
    <mergeCell ref="I9:I11"/>
    <mergeCell ref="C34:E34"/>
    <mergeCell ref="G32:H32"/>
    <mergeCell ref="C33:F33"/>
    <mergeCell ref="C32:F32"/>
    <mergeCell ref="C31:F31"/>
    <mergeCell ref="G31:H31"/>
    <mergeCell ref="C2:G2"/>
    <mergeCell ref="D3:G3"/>
    <mergeCell ref="D4:G4"/>
    <mergeCell ref="D5:G5"/>
    <mergeCell ref="D6:G6"/>
    <mergeCell ref="D7:G7"/>
    <mergeCell ref="C9:C11"/>
    <mergeCell ref="D9:D11"/>
    <mergeCell ref="E9:E11"/>
    <mergeCell ref="G9:G11"/>
    <mergeCell ref="F9:F11"/>
    <mergeCell ref="C44:I52"/>
    <mergeCell ref="C53:I57"/>
    <mergeCell ref="C36:F36"/>
    <mergeCell ref="C40:F40"/>
    <mergeCell ref="C38:F38"/>
    <mergeCell ref="C37:F37"/>
    <mergeCell ref="G40:H40"/>
    <mergeCell ref="C39:F39"/>
    <mergeCell ref="C42:H42"/>
  </mergeCells>
  <conditionalFormatting sqref="E12:I25 E26:G26 I26">
    <cfRule type="expression" dxfId="126" priority="4">
      <formula>OR(ISBLANK($E12),$E12=0)</formula>
    </cfRule>
  </conditionalFormatting>
  <conditionalFormatting sqref="G33:G38">
    <cfRule type="cellIs" dxfId="125" priority="3" operator="equal">
      <formula>"n/a"</formula>
    </cfRule>
  </conditionalFormatting>
  <conditionalFormatting sqref="H35:H37">
    <cfRule type="cellIs" dxfId="124" priority="2" operator="equal">
      <formula>"n/a"</formula>
    </cfRule>
  </conditionalFormatting>
  <pageMargins left="0.7" right="0.7" top="0.75" bottom="0.75" header="0.3" footer="0.3"/>
  <pageSetup scale="6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E2ED0-345C-47ED-B0B3-2B24EB791F44}">
  <sheetPr codeName="Sheet7">
    <tabColor theme="1"/>
  </sheetPr>
  <dimension ref="B1:P140"/>
  <sheetViews>
    <sheetView showGridLines="0" zoomScaleNormal="100" workbookViewId="0">
      <selection activeCell="B3" sqref="B3:B4"/>
    </sheetView>
  </sheetViews>
  <sheetFormatPr defaultRowHeight="15"/>
  <cols>
    <col min="1" max="1" width="4.85546875" customWidth="1"/>
    <col min="2" max="2" width="19" style="30" customWidth="1"/>
    <col min="3" max="3" width="14.42578125" style="30" customWidth="1"/>
    <col min="4" max="4" width="25.28515625" customWidth="1"/>
    <col min="5" max="5" width="15.28515625" customWidth="1"/>
    <col min="6" max="6" width="12.28515625" customWidth="1"/>
    <col min="7" max="9" width="14.5703125" customWidth="1"/>
    <col min="10" max="12" width="15.85546875" customWidth="1"/>
    <col min="13" max="15" width="20.85546875" customWidth="1"/>
    <col min="16" max="16" width="21.7109375" customWidth="1"/>
  </cols>
  <sheetData>
    <row r="1" spans="2:16" ht="15.75" thickBot="1">
      <c r="P1" s="1">
        <f>COUNTIF(Rebate_Lookup[Volume Buy Counter],TRUE)</f>
        <v>0</v>
      </c>
    </row>
    <row r="2" spans="2:16" ht="16.5" thickTop="1" thickBot="1">
      <c r="B2" s="48" t="s">
        <v>106</v>
      </c>
      <c r="C2" s="57" t="s">
        <v>107</v>
      </c>
      <c r="D2" s="49" t="s">
        <v>108</v>
      </c>
      <c r="E2" s="49" t="s">
        <v>109</v>
      </c>
      <c r="F2" s="50" t="s">
        <v>110</v>
      </c>
      <c r="G2" s="40" t="s">
        <v>111</v>
      </c>
      <c r="H2" s="41" t="s">
        <v>112</v>
      </c>
      <c r="I2" s="42" t="s">
        <v>113</v>
      </c>
      <c r="J2" s="40" t="s">
        <v>114</v>
      </c>
      <c r="K2" s="41" t="s">
        <v>115</v>
      </c>
      <c r="L2" s="42" t="s">
        <v>116</v>
      </c>
      <c r="M2" s="59" t="s">
        <v>117</v>
      </c>
      <c r="N2" s="59" t="s">
        <v>118</v>
      </c>
      <c r="O2" s="59" t="s">
        <v>119</v>
      </c>
      <c r="P2" t="s">
        <v>120</v>
      </c>
    </row>
    <row r="3" spans="2:16" ht="15.75" thickTop="1">
      <c r="B3" s="43">
        <v>4250930</v>
      </c>
      <c r="C3" s="58" t="str">
        <f>INDEX(PRICING[Agency/TT],MATCH(Rebate_Lookup[[#This Row],[SKU CODE]],PRICING[SKU],0))</f>
        <v>TT</v>
      </c>
      <c r="D3" s="44" t="str">
        <f>INDEX(PRICING[Product],MATCH(B3,PRICING[SKU],0))</f>
        <v>26 GT</v>
      </c>
      <c r="E3" s="44" t="str">
        <f>INDEX(PRICING[Size],MATCH(Rebate_Lookup[[#This Row],[SKU CODE]],PRICING[SKU],0))</f>
        <v>2.5 gal</v>
      </c>
      <c r="F3" s="45">
        <f>COUNTIFS(PRICING[SKU],B3)</f>
        <v>1</v>
      </c>
      <c r="G3" s="35"/>
      <c r="H3" s="36"/>
      <c r="I3" s="37"/>
      <c r="J3" s="51">
        <f>SUMIFS(PRICING[Rebate $],PRICING[SKU],Rebate_Lookup[[#This Row],[SKU CODE]],PRICING[Set],1)</f>
        <v>0</v>
      </c>
      <c r="K3" s="52">
        <f>SUMIFS(PRICING[Rebate $],PRICING[SKU],Rebate_Lookup[[#This Row],[SKU CODE]],PRICING[Set],2)</f>
        <v>0</v>
      </c>
      <c r="L3" s="53">
        <f>SUMIFS(PRICING[Rebate $],PRICING[SKU],Rebate_Lookup[[#This Row],[SKU CODE]],PRICING[Set],3)</f>
        <v>0</v>
      </c>
      <c r="M3" s="59">
        <f>SUMIF('2025 LL-CALCULATOR - UNITS'!A:A,Rebate_Lookup[[#This Row],[SKU CODE]],'2025 LL-CALCULATOR - UNITS'!J:J)</f>
        <v>0</v>
      </c>
      <c r="N3"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 s="59">
        <f>COUNTIF('2025 LL-CALCULATOR - UNITS'!A:A,Rebate_Lookup[[#This Row],[SKU CODE]])</f>
        <v>0</v>
      </c>
      <c r="P3">
        <v>0</v>
      </c>
    </row>
    <row r="4" spans="2:16">
      <c r="B4" s="46" t="s">
        <v>121</v>
      </c>
      <c r="C4" s="32" t="str">
        <f>INDEX(PRICING[Agency/TT],MATCH(Rebate_Lookup[[#This Row],[SKU CODE]],PRICING[SKU],0))</f>
        <v>TT</v>
      </c>
      <c r="D4" s="33" t="str">
        <f>INDEX(PRICING[Product],MATCH(B4,PRICING[SKU],0))</f>
        <v>Armada 50 WDG</v>
      </c>
      <c r="E4" s="33" t="str">
        <f>INDEX(PRICING[Size],MATCH(Rebate_Lookup[[#This Row],[SKU CODE]],PRICING[SKU],0))</f>
        <v>2 lb</v>
      </c>
      <c r="F4" s="47">
        <f>COUNTIFS(PRICING[SKU],B4)</f>
        <v>1</v>
      </c>
      <c r="G4" s="38"/>
      <c r="H4" s="34"/>
      <c r="I4" s="39"/>
      <c r="J4" s="54">
        <f>SUMIFS(PRICING[Rebate $],PRICING[SKU],Rebate_Lookup[[#This Row],[SKU CODE]],PRICING[Set],1)</f>
        <v>10</v>
      </c>
      <c r="K4" s="55">
        <f>SUMIFS(PRICING[Rebate $],PRICING[SKU],Rebate_Lookup[[#This Row],[SKU CODE]],PRICING[Set],2)</f>
        <v>0</v>
      </c>
      <c r="L4" s="56">
        <f>SUMIFS(PRICING[Rebate $],PRICING[SKU],Rebate_Lookup[[#This Row],[SKU CODE]],PRICING[Set],3)</f>
        <v>0</v>
      </c>
      <c r="M4" s="59">
        <f>SUMIF('2025 LL-CALCULATOR - UNITS'!A:A,Rebate_Lookup[[#This Row],[SKU CODE]],'2025 LL-CALCULATOR - UNITS'!J:J)</f>
        <v>0</v>
      </c>
      <c r="N4"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4" s="59">
        <f>COUNTIF('2025 LL-CALCULATOR - UNITS'!A:A,Rebate_Lookup[[#This Row],[SKU CODE]])</f>
        <v>0</v>
      </c>
      <c r="P4">
        <v>0</v>
      </c>
    </row>
    <row r="5" spans="2:16">
      <c r="B5" s="46" t="s">
        <v>122</v>
      </c>
      <c r="C5" s="32" t="str">
        <f>INDEX(PRICING[Agency/TT],MATCH(Rebate_Lookup[[#This Row],[SKU CODE]],PRICING[SKU],0))</f>
        <v>A</v>
      </c>
      <c r="D5" s="33" t="str">
        <f>INDEX(PRICING[Product],MATCH(B5,PRICING[SKU],0))</f>
        <v>Banol®</v>
      </c>
      <c r="E5" s="33" t="str">
        <f>INDEX(PRICING[Size],MATCH(Rebate_Lookup[[#This Row],[SKU CODE]],PRICING[SKU],0))</f>
        <v xml:space="preserve">2.5 gal </v>
      </c>
      <c r="F5" s="47">
        <f>COUNTIFS(PRICING[SKU],B5)</f>
        <v>2</v>
      </c>
      <c r="G5" s="38">
        <v>1</v>
      </c>
      <c r="H5" s="34">
        <v>2</v>
      </c>
      <c r="I5" s="39"/>
      <c r="J5" s="54">
        <f>SUMIFS(PRICING[Rebate $],PRICING[SKU],Rebate_Lookup[[#This Row],[SKU CODE]],PRICING[Set],1)</f>
        <v>0</v>
      </c>
      <c r="K5" s="55">
        <f>SUMIFS(PRICING[Rebate $],PRICING[SKU],Rebate_Lookup[[#This Row],[SKU CODE]],PRICING[Set],2)</f>
        <v>90</v>
      </c>
      <c r="L5" s="56">
        <f>SUMIFS(PRICING[Rebate $],PRICING[SKU],Rebate_Lookup[[#This Row],[SKU CODE]],PRICING[Set],3)</f>
        <v>0</v>
      </c>
      <c r="M5" s="59">
        <f>SUMIF('2025 LL-CALCULATOR - UNITS'!A:A,Rebate_Lookup[[#This Row],[SKU CODE]],'2025 LL-CALCULATOR - UNITS'!J:J)</f>
        <v>0</v>
      </c>
      <c r="N5"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5" s="59">
        <f>COUNTIF('2025 LL-CALCULATOR - UNITS'!A:A,Rebate_Lookup[[#This Row],[SKU CODE]])</f>
        <v>0</v>
      </c>
      <c r="P5" t="b">
        <f>Rebate_Lookup[[#This Row],[Order Form Quantity]]&gt;=2</f>
        <v>0</v>
      </c>
    </row>
    <row r="6" spans="2:16">
      <c r="B6" s="46" t="s">
        <v>123</v>
      </c>
      <c r="C6" s="138" t="str">
        <f>INDEX(PRICING[Agency/TT],MATCH(Rebate_Lookup[[#This Row],[SKU CODE]],PRICING[SKU],0))</f>
        <v>A</v>
      </c>
      <c r="D6" s="139" t="str">
        <f>INDEX(PRICING[Product],MATCH(B6,PRICING[SKU],0))</f>
        <v>Broadform</v>
      </c>
      <c r="E6" s="139" t="str">
        <f>INDEX(PRICING[Size],MATCH(Rebate_Lookup[[#This Row],[SKU CODE]],PRICING[SKU],0))</f>
        <v>12 oz</v>
      </c>
      <c r="F6" s="140">
        <f>COUNTIFS(PRICING[SKU],B6)</f>
        <v>3</v>
      </c>
      <c r="G6" s="38">
        <v>1</v>
      </c>
      <c r="H6" s="34">
        <v>16</v>
      </c>
      <c r="I6" s="39">
        <v>32</v>
      </c>
      <c r="J6" s="54">
        <f>SUMIFS(PRICING[Rebate $],PRICING[SKU],Rebate_Lookup[[#This Row],[SKU CODE]],PRICING[Set],1)</f>
        <v>0</v>
      </c>
      <c r="K6" s="55">
        <f>SUMIFS(PRICING[Rebate $],PRICING[SKU],Rebate_Lookup[[#This Row],[SKU CODE]],PRICING[Set],2)</f>
        <v>0</v>
      </c>
      <c r="L6" s="56">
        <f>SUMIFS(PRICING[Rebate $],PRICING[SKU],Rebate_Lookup[[#This Row],[SKU CODE]],PRICING[Set],3)</f>
        <v>0</v>
      </c>
      <c r="M6" s="59">
        <f>SUMIF('2025 LL-CALCULATOR - UNITS'!A:A,Rebate_Lookup[[#This Row],[SKU CODE]],'2025 LL-CALCULATOR - UNITS'!J:J)</f>
        <v>0</v>
      </c>
      <c r="N6"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6" s="59">
        <f>COUNTIF('2025 LL-CALCULATOR - UNITS'!A:A,Rebate_Lookup[[#This Row],[SKU CODE]])</f>
        <v>0</v>
      </c>
      <c r="P6" t="b">
        <f>Rebate_Lookup[[#This Row],[Order Form Quantity]]&gt;=16</f>
        <v>0</v>
      </c>
    </row>
    <row r="7" spans="2:16">
      <c r="B7" s="46" t="s">
        <v>124</v>
      </c>
      <c r="C7" s="32" t="str">
        <f>INDEX(PRICING[Agency/TT],MATCH(Rebate_Lookup[[#This Row],[SKU CODE]],PRICING[SKU],0))</f>
        <v>A</v>
      </c>
      <c r="D7" s="33" t="str">
        <f>INDEX(PRICING[Product],MATCH(B7,PRICING[SKU],0))</f>
        <v>Castlon™</v>
      </c>
      <c r="E7" s="33" t="str">
        <f>INDEX(PRICING[Size],MATCH(Rebate_Lookup[[#This Row],[SKU CODE]],PRICING[SKU],0))</f>
        <v>1 gal</v>
      </c>
      <c r="F7" s="47">
        <f>COUNTIFS(PRICING[SKU],B7)</f>
        <v>3</v>
      </c>
      <c r="G7" s="38">
        <v>1</v>
      </c>
      <c r="H7" s="34">
        <v>5</v>
      </c>
      <c r="I7" s="39">
        <v>10</v>
      </c>
      <c r="J7" s="54">
        <f>SUMIFS(PRICING[Rebate $],PRICING[SKU],Rebate_Lookup[[#This Row],[SKU CODE]],PRICING[Set],1)</f>
        <v>0</v>
      </c>
      <c r="K7" s="55">
        <f>SUMIFS(PRICING[Rebate $],PRICING[SKU],Rebate_Lookup[[#This Row],[SKU CODE]],PRICING[Set],2)</f>
        <v>525</v>
      </c>
      <c r="L7" s="56">
        <f>SUMIFS(PRICING[Rebate $],PRICING[SKU],Rebate_Lookup[[#This Row],[SKU CODE]],PRICING[Set],3)</f>
        <v>585</v>
      </c>
      <c r="M7" s="59">
        <f>SUMIF('2025 LL-CALCULATOR - UNITS'!A:A,Rebate_Lookup[[#This Row],[SKU CODE]],'2025 LL-CALCULATOR - UNITS'!J:J)</f>
        <v>0</v>
      </c>
      <c r="N7"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7" s="59">
        <f>COUNTIF('2025 LL-CALCULATOR - UNITS'!A:A,Rebate_Lookup[[#This Row],[SKU CODE]])</f>
        <v>0</v>
      </c>
      <c r="P7" t="b">
        <f>Rebate_Lookup[[#This Row],[Order Form Quantity]]&gt;=5</f>
        <v>0</v>
      </c>
    </row>
    <row r="8" spans="2:16">
      <c r="B8" s="46" t="s">
        <v>125</v>
      </c>
      <c r="C8" s="32" t="str">
        <f>INDEX(PRICING[Agency/TT],MATCH(Rebate_Lookup[[#This Row],[SKU CODE]],PRICING[SKU],0))</f>
        <v>A</v>
      </c>
      <c r="D8" s="33" t="str">
        <f>INDEX(PRICING[Product],MATCH(B8,PRICING[SKU],0))</f>
        <v>Castlon™</v>
      </c>
      <c r="E8" s="33" t="str">
        <f>INDEX(PRICING[Size],MATCH(Rebate_Lookup[[#This Row],[SKU CODE]],PRICING[SKU],0))</f>
        <v>16 oz</v>
      </c>
      <c r="F8" s="47">
        <f>COUNTIFS(PRICING[SKU],B8)</f>
        <v>3</v>
      </c>
      <c r="G8" s="38">
        <v>1</v>
      </c>
      <c r="H8" s="34">
        <v>4</v>
      </c>
      <c r="I8" s="39"/>
      <c r="J8" s="54">
        <f>SUMIFS(PRICING[Rebate $],PRICING[SKU],Rebate_Lookup[[#This Row],[SKU CODE]],PRICING[Set],1)</f>
        <v>0</v>
      </c>
      <c r="K8" s="55">
        <f>SUMIFS(PRICING[Rebate $],PRICING[SKU],Rebate_Lookup[[#This Row],[SKU CODE]],PRICING[Set],2)</f>
        <v>50</v>
      </c>
      <c r="L8" s="56">
        <f>SUMIFS(PRICING[Rebate $],PRICING[SKU],Rebate_Lookup[[#This Row],[SKU CODE]],PRICING[Set],3)</f>
        <v>105</v>
      </c>
      <c r="M8" s="59">
        <f>SUMIF('2025 LL-CALCULATOR - UNITS'!A:A,Rebate_Lookup[[#This Row],[SKU CODE]],'2025 LL-CALCULATOR - UNITS'!J:J)</f>
        <v>0</v>
      </c>
      <c r="N8"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8" s="59">
        <f>COUNTIF('2025 LL-CALCULATOR - UNITS'!A:A,Rebate_Lookup[[#This Row],[SKU CODE]])</f>
        <v>0</v>
      </c>
      <c r="P8" t="b">
        <f>Rebate_Lookup[[#This Row],[Order Form Quantity]]&gt;=4</f>
        <v>0</v>
      </c>
    </row>
    <row r="9" spans="2:16">
      <c r="B9" s="46" t="s">
        <v>126</v>
      </c>
      <c r="C9" s="32" t="str">
        <f>INDEX(PRICING[Agency/TT],MATCH(Rebate_Lookup[[#This Row],[SKU CODE]],PRICING[SKU],0))</f>
        <v>A</v>
      </c>
      <c r="D9" s="33" t="str">
        <f>INDEX(PRICING[Product],MATCH(B9,PRICING[SKU],0))</f>
        <v>Chipco® Signature™</v>
      </c>
      <c r="E9" s="33" t="str">
        <f>INDEX(PRICING[Size],MATCH(Rebate_Lookup[[#This Row],[SKU CODE]],PRICING[SKU],0))</f>
        <v>11 lb</v>
      </c>
      <c r="F9" s="47">
        <f>COUNTIFS(PRICING[SKU],B9)</f>
        <v>2</v>
      </c>
      <c r="G9" s="38">
        <v>1</v>
      </c>
      <c r="H9" s="34">
        <v>9</v>
      </c>
      <c r="I9" s="39"/>
      <c r="J9" s="54">
        <f>SUMIFS(PRICING[Rebate $],PRICING[SKU],Rebate_Lookup[[#This Row],[SKU CODE]],PRICING[Set],1)</f>
        <v>0</v>
      </c>
      <c r="K9" s="55">
        <f>SUMIFS(PRICING[Rebate $],PRICING[SKU],Rebate_Lookup[[#This Row],[SKU CODE]],PRICING[Set],2)</f>
        <v>5</v>
      </c>
      <c r="L9" s="56">
        <f>SUMIFS(PRICING[Rebate $],PRICING[SKU],Rebate_Lookup[[#This Row],[SKU CODE]],PRICING[Set],3)</f>
        <v>0</v>
      </c>
      <c r="M9" s="59">
        <f>SUMIF('2025 LL-CALCULATOR - UNITS'!A:A,Rebate_Lookup[[#This Row],[SKU CODE]],'2025 LL-CALCULATOR - UNITS'!J:J)</f>
        <v>0</v>
      </c>
      <c r="N9"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9" s="59">
        <f>COUNTIF('2025 LL-CALCULATOR - UNITS'!A:A,Rebate_Lookup[[#This Row],[SKU CODE]])</f>
        <v>0</v>
      </c>
      <c r="P9" t="b">
        <f>Rebate_Lookup[[#This Row],[Order Form Quantity]]&gt;=9</f>
        <v>0</v>
      </c>
    </row>
    <row r="10" spans="2:16">
      <c r="B10" s="46" t="s">
        <v>127</v>
      </c>
      <c r="C10" s="32" t="str">
        <f>INDEX(PRICING[Agency/TT],MATCH(Rebate_Lookup[[#This Row],[SKU CODE]],PRICING[SKU],0))</f>
        <v>A</v>
      </c>
      <c r="D10" s="33" t="str">
        <f>INDEX(PRICING[Product],MATCH(B10,PRICING[SKU],0))</f>
        <v>Densicor®</v>
      </c>
      <c r="E10" s="33" t="str">
        <f>INDEX(PRICING[Size],MATCH(Rebate_Lookup[[#This Row],[SKU CODE]],PRICING[SKU],0))</f>
        <v>51 oz</v>
      </c>
      <c r="F10" s="47">
        <f>COUNTIFS(PRICING[SKU],B10)</f>
        <v>2</v>
      </c>
      <c r="G10" s="38">
        <v>1</v>
      </c>
      <c r="H10" s="34">
        <v>3</v>
      </c>
      <c r="I10" s="39"/>
      <c r="J10" s="54">
        <f>SUMIFS(PRICING[Rebate $],PRICING[SKU],Rebate_Lookup[[#This Row],[SKU CODE]],PRICING[Set],1)</f>
        <v>0</v>
      </c>
      <c r="K10" s="55">
        <f>SUMIFS(PRICING[Rebate $],PRICING[SKU],Rebate_Lookup[[#This Row],[SKU CODE]],PRICING[Set],2)</f>
        <v>100</v>
      </c>
      <c r="L10" s="56">
        <f>SUMIFS(PRICING[Rebate $],PRICING[SKU],Rebate_Lookup[[#This Row],[SKU CODE]],PRICING[Set],3)</f>
        <v>0</v>
      </c>
      <c r="M10" s="59">
        <f>SUMIF('2025 LL-CALCULATOR - UNITS'!A:A,Rebate_Lookup[[#This Row],[SKU CODE]],'2025 LL-CALCULATOR - UNITS'!J:J)</f>
        <v>0</v>
      </c>
      <c r="N10"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0" s="59">
        <f>COUNTIF('2025 LL-CALCULATOR - UNITS'!A:A,Rebate_Lookup[[#This Row],[SKU CODE]])</f>
        <v>0</v>
      </c>
      <c r="P10" t="b">
        <f>Rebate_Lookup[[#This Row],[Order Form Quantity]]&gt;=3</f>
        <v>0</v>
      </c>
    </row>
    <row r="11" spans="2:16">
      <c r="B11" s="46" t="s">
        <v>128</v>
      </c>
      <c r="C11" s="32" t="str">
        <f>INDEX(PRICING[Agency/TT],MATCH(Rebate_Lookup[[#This Row],[SKU CODE]],PRICING[SKU],0))</f>
        <v>A</v>
      </c>
      <c r="D11" s="33" t="str">
        <f>INDEX(PRICING[Product],MATCH(B11,PRICING[SKU],0))</f>
        <v>Exteris® Stressgard®</v>
      </c>
      <c r="E11" s="33" t="str">
        <f>INDEX(PRICING[Size],MATCH(Rebate_Lookup[[#This Row],[SKU CODE]],PRICING[SKU],0))</f>
        <v> 2.5 gal</v>
      </c>
      <c r="F11" s="47">
        <f>COUNTIFS(PRICING[SKU],B11)</f>
        <v>2</v>
      </c>
      <c r="G11" s="38">
        <v>1</v>
      </c>
      <c r="H11" s="34">
        <v>6</v>
      </c>
      <c r="I11" s="39"/>
      <c r="J11" s="54">
        <f>SUMIFS(PRICING[Rebate $],PRICING[SKU],Rebate_Lookup[[#This Row],[SKU CODE]],PRICING[Set],1)</f>
        <v>0</v>
      </c>
      <c r="K11" s="55">
        <f>SUMIFS(PRICING[Rebate $],PRICING[SKU],Rebate_Lookup[[#This Row],[SKU CODE]],PRICING[Set],2)</f>
        <v>45</v>
      </c>
      <c r="L11" s="56">
        <f>SUMIFS(PRICING[Rebate $],PRICING[SKU],Rebate_Lookup[[#This Row],[SKU CODE]],PRICING[Set],3)</f>
        <v>0</v>
      </c>
      <c r="M11" s="59">
        <f>SUMIF('2025 LL-CALCULATOR - UNITS'!A:A,Rebate_Lookup[[#This Row],[SKU CODE]],'2025 LL-CALCULATOR - UNITS'!J:J)</f>
        <v>0</v>
      </c>
      <c r="N11"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1" s="59">
        <f>COUNTIF('2025 LL-CALCULATOR - UNITS'!A:A,Rebate_Lookup[[#This Row],[SKU CODE]])</f>
        <v>0</v>
      </c>
      <c r="P11" t="b">
        <f>Rebate_Lookup[[#This Row],[Order Form Quantity]]&gt;=6</f>
        <v>0</v>
      </c>
    </row>
    <row r="12" spans="2:16">
      <c r="B12" s="46">
        <v>11008377</v>
      </c>
      <c r="C12" s="32" t="str">
        <f>INDEX(PRICING[Agency/TT],MATCH(Rebate_Lookup[[#This Row],[SKU CODE]],PRICING[SKU],0))</f>
        <v>A</v>
      </c>
      <c r="D12" s="33" t="str">
        <f>INDEX(PRICING[Product],MATCH(B12,PRICING[SKU],0))</f>
        <v>Fame® +C Fungicide</v>
      </c>
      <c r="E12" s="33" t="str">
        <f>INDEX(PRICING[Size],MATCH(Rebate_Lookup[[#This Row],[SKU CODE]],PRICING[SKU],0))</f>
        <v>2.5 gal</v>
      </c>
      <c r="F12" s="47">
        <f>COUNTIFS(PRICING[SKU],B12)</f>
        <v>1</v>
      </c>
      <c r="G12" s="38">
        <v>1</v>
      </c>
      <c r="H12" s="34"/>
      <c r="I12" s="39"/>
      <c r="J12" s="54">
        <f>SUMIFS(PRICING[Rebate $],PRICING[SKU],Rebate_Lookup[[#This Row],[SKU CODE]],PRICING[Set],1)</f>
        <v>0</v>
      </c>
      <c r="K12" s="55">
        <f>SUMIFS(PRICING[Rebate $],PRICING[SKU],Rebate_Lookup[[#This Row],[SKU CODE]],PRICING[Set],2)</f>
        <v>0</v>
      </c>
      <c r="L12" s="56">
        <f>SUMIFS(PRICING[Rebate $],PRICING[SKU],Rebate_Lookup[[#This Row],[SKU CODE]],PRICING[Set],3)</f>
        <v>0</v>
      </c>
      <c r="M12" s="59">
        <f>SUMIF('2025 LL-CALCULATOR - UNITS'!A:A,Rebate_Lookup[[#This Row],[SKU CODE]],'2025 LL-CALCULATOR - UNITS'!J:J)</f>
        <v>0</v>
      </c>
      <c r="N12"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2" s="59">
        <f>COUNTIF('2025 LL-CALCULATOR - UNITS'!A:A,Rebate_Lookup[[#This Row],[SKU CODE]])</f>
        <v>0</v>
      </c>
      <c r="P12">
        <v>0</v>
      </c>
    </row>
    <row r="13" spans="2:16">
      <c r="B13" s="46">
        <v>11008557</v>
      </c>
      <c r="C13" s="32" t="str">
        <f>INDEX(PRICING[Agency/TT],MATCH(Rebate_Lookup[[#This Row],[SKU CODE]],PRICING[SKU],0))</f>
        <v>A</v>
      </c>
      <c r="D13" s="33" t="str">
        <f>INDEX(PRICING[Product],MATCH(B13,PRICING[SKU],0))</f>
        <v>Fame® SC Fungicide</v>
      </c>
      <c r="E13" s="33" t="str">
        <f>INDEX(PRICING[Size],MATCH(Rebate_Lookup[[#This Row],[SKU CODE]],PRICING[SKU],0))</f>
        <v>64 oz</v>
      </c>
      <c r="F13" s="47">
        <f>COUNTIFS(PRICING[SKU],B13)</f>
        <v>2</v>
      </c>
      <c r="G13" s="38">
        <v>1</v>
      </c>
      <c r="H13" s="34">
        <v>4</v>
      </c>
      <c r="I13" s="39"/>
      <c r="J13" s="54">
        <f>SUMIFS(PRICING[Rebate $],PRICING[SKU],Rebate_Lookup[[#This Row],[SKU CODE]],PRICING[Set],1)</f>
        <v>0</v>
      </c>
      <c r="K13" s="55">
        <f>SUMIFS(PRICING[Rebate $],PRICING[SKU],Rebate_Lookup[[#This Row],[SKU CODE]],PRICING[Set],2)</f>
        <v>410</v>
      </c>
      <c r="L13" s="56">
        <f>SUMIFS(PRICING[Rebate $],PRICING[SKU],Rebate_Lookup[[#This Row],[SKU CODE]],PRICING[Set],3)</f>
        <v>0</v>
      </c>
      <c r="M13" s="59">
        <f>SUMIF('2025 LL-CALCULATOR - UNITS'!A:A,Rebate_Lookup[[#This Row],[SKU CODE]],'2025 LL-CALCULATOR - UNITS'!J:J)</f>
        <v>0</v>
      </c>
      <c r="N13"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3" s="59">
        <f>COUNTIF('2025 LL-CALCULATOR - UNITS'!A:A,Rebate_Lookup[[#This Row],[SKU CODE]])</f>
        <v>1</v>
      </c>
      <c r="P13" t="b">
        <f>Rebate_Lookup[[#This Row],[Order Form Quantity]]&gt;=4</f>
        <v>0</v>
      </c>
    </row>
    <row r="14" spans="2:16">
      <c r="B14" s="46">
        <v>11009500</v>
      </c>
      <c r="C14" s="32" t="str">
        <f>INDEX(PRICING[Agency/TT],MATCH(Rebate_Lookup[[#This Row],[SKU CODE]],PRICING[SKU],0))</f>
        <v>A</v>
      </c>
      <c r="D14" s="33" t="str">
        <f>INDEX(PRICING[Product],MATCH(B14,PRICING[SKU],0))</f>
        <v>Fame® SC Fungicide</v>
      </c>
      <c r="E14" s="33" t="str">
        <f>INDEX(PRICING[Size],MATCH(Rebate_Lookup[[#This Row],[SKU CODE]],PRICING[SKU],0))</f>
        <v>2.5 gal</v>
      </c>
      <c r="F14" s="47">
        <f>COUNTIFS(PRICING[SKU],B14)</f>
        <v>3</v>
      </c>
      <c r="G14" s="38">
        <v>1</v>
      </c>
      <c r="H14" s="34">
        <v>2</v>
      </c>
      <c r="I14" s="39">
        <v>4</v>
      </c>
      <c r="J14" s="54">
        <f>SUMIFS(PRICING[Rebate $],PRICING[SKU],Rebate_Lookup[[#This Row],[SKU CODE]],PRICING[Set],1)</f>
        <v>0</v>
      </c>
      <c r="K14" s="55">
        <f>SUMIFS(PRICING[Rebate $],PRICING[SKU],Rebate_Lookup[[#This Row],[SKU CODE]],PRICING[Set],2)</f>
        <v>1450</v>
      </c>
      <c r="L14" s="56">
        <f>SUMIFS(PRICING[Rebate $],PRICING[SKU],Rebate_Lookup[[#This Row],[SKU CODE]],PRICING[Set],3)</f>
        <v>1600</v>
      </c>
      <c r="M14" s="59">
        <f>SUMIF('2025 LL-CALCULATOR - UNITS'!A:A,Rebate_Lookup[[#This Row],[SKU CODE]],'2025 LL-CALCULATOR - UNITS'!J:J)</f>
        <v>0</v>
      </c>
      <c r="N14"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4" s="59">
        <f>COUNTIF('2025 LL-CALCULATOR - UNITS'!A:A,Rebate_Lookup[[#This Row],[SKU CODE]])</f>
        <v>1</v>
      </c>
      <c r="P14" t="b">
        <f>Rebate_Lookup[[#This Row],[Order Form Quantity]]&gt;=2</f>
        <v>0</v>
      </c>
    </row>
    <row r="15" spans="2:16">
      <c r="B15" s="46">
        <v>11008393</v>
      </c>
      <c r="C15" s="32" t="str">
        <f>INDEX(PRICING[Agency/TT],MATCH(Rebate_Lookup[[#This Row],[SKU CODE]],PRICING[SKU],0))</f>
        <v>A</v>
      </c>
      <c r="D15" s="33" t="str">
        <f>INDEX(PRICING[Product],MATCH(B15,PRICING[SKU],0))</f>
        <v>Fame® SC Fungicide</v>
      </c>
      <c r="E15" s="33" t="str">
        <f>INDEX(PRICING[Size],MATCH(Rebate_Lookup[[#This Row],[SKU CODE]],PRICING[SKU],0))</f>
        <v>16 oz</v>
      </c>
      <c r="F15" s="140">
        <v>2</v>
      </c>
      <c r="G15" s="38">
        <v>1</v>
      </c>
      <c r="H15" s="34">
        <v>4</v>
      </c>
      <c r="I15" s="39"/>
      <c r="J15" s="54">
        <f>SUMIFS(PRICING[Rebate $],PRICING[SKU],Rebate_Lookup[[#This Row],[SKU CODE]],PRICING[Set],1)</f>
        <v>0</v>
      </c>
      <c r="K15" s="55">
        <f>SUMIFS(PRICING[Rebate $],PRICING[SKU],Rebate_Lookup[[#This Row],[SKU CODE]],PRICING[Set],2)</f>
        <v>50</v>
      </c>
      <c r="L15" s="153"/>
      <c r="M15" s="59">
        <f>SUMIF('2025 LL-CALCULATOR - UNITS'!A:A,Rebate_Lookup[[#This Row],[SKU CODE]],'2025 LL-CALCULATOR - UNITS'!J:J)</f>
        <v>0</v>
      </c>
      <c r="N15"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5" s="59">
        <f>COUNTIF('2025 LL-CALCULATOR - UNITS'!A:A,Rebate_Lookup[[#This Row],[SKU CODE]])</f>
        <v>0</v>
      </c>
      <c r="P15" t="b">
        <f>Rebate_Lookup[[#This Row],[Order Form Quantity]]&gt;=4</f>
        <v>0</v>
      </c>
    </row>
    <row r="16" spans="2:16">
      <c r="B16" s="46" t="s">
        <v>129</v>
      </c>
      <c r="C16" s="32" t="str">
        <f>INDEX(PRICING[Agency/TT],MATCH(Rebate_Lookup[[#This Row],[SKU CODE]],PRICING[SKU],0))</f>
        <v>A</v>
      </c>
      <c r="D16" s="33" t="str">
        <f>INDEX(PRICING[Product],MATCH(B16,PRICING[SKU],0))</f>
        <v>Fiata® Stressgard®</v>
      </c>
      <c r="E16" s="33" t="str">
        <f>INDEX(PRICING[Size],MATCH(Rebate_Lookup[[#This Row],[SKU CODE]],PRICING[SKU],0))</f>
        <v> 2.5 gal</v>
      </c>
      <c r="F16" s="47">
        <f>COUNTIFS(PRICING[SKU],B16)</f>
        <v>2</v>
      </c>
      <c r="G16" s="38">
        <v>1</v>
      </c>
      <c r="H16" s="34">
        <v>16</v>
      </c>
      <c r="I16" s="39"/>
      <c r="J16" s="54">
        <f>SUMIFS(PRICING[Rebate $],PRICING[SKU],Rebate_Lookup[[#This Row],[SKU CODE]],PRICING[Set],1)</f>
        <v>0</v>
      </c>
      <c r="K16" s="55">
        <f>SUMIFS(PRICING[Rebate $],PRICING[SKU],Rebate_Lookup[[#This Row],[SKU CODE]],PRICING[Set],2)</f>
        <v>10</v>
      </c>
      <c r="L16" s="56">
        <f>SUMIFS(PRICING[Rebate $],PRICING[SKU],Rebate_Lookup[[#This Row],[SKU CODE]],PRICING[Set],3)</f>
        <v>0</v>
      </c>
      <c r="M16" s="59">
        <f>SUMIF('2025 LL-CALCULATOR - UNITS'!A:A,Rebate_Lookup[[#This Row],[SKU CODE]],'2025 LL-CALCULATOR - UNITS'!J:J)</f>
        <v>0</v>
      </c>
      <c r="N16"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6" s="59">
        <f>COUNTIF('2025 LL-CALCULATOR - UNITS'!A:A,Rebate_Lookup[[#This Row],[SKU CODE]])</f>
        <v>0</v>
      </c>
      <c r="P16" t="b">
        <f>Rebate_Lookup[[#This Row],[Order Form Quantity]]&gt;=16</f>
        <v>0</v>
      </c>
    </row>
    <row r="17" spans="2:16">
      <c r="B17" s="46" t="s">
        <v>130</v>
      </c>
      <c r="C17" s="32" t="str">
        <f>INDEX(PRICING[Agency/TT],MATCH(Rebate_Lookup[[#This Row],[SKU CODE]],PRICING[SKU],0))</f>
        <v>A</v>
      </c>
      <c r="D17" s="33" t="str">
        <f>INDEX(PRICING[Product],MATCH(B17,PRICING[SKU],0))</f>
        <v>Indemnify®</v>
      </c>
      <c r="E17" s="33" t="str">
        <f>INDEX(PRICING[Size],MATCH(Rebate_Lookup[[#This Row],[SKU CODE]],PRICING[SKU],0))</f>
        <v>17.1 fl oz</v>
      </c>
      <c r="F17" s="47">
        <f>COUNTIFS(PRICING[SKU],B17)</f>
        <v>3</v>
      </c>
      <c r="G17" s="38">
        <v>1</v>
      </c>
      <c r="H17" s="34">
        <v>3</v>
      </c>
      <c r="I17" s="39">
        <v>6</v>
      </c>
      <c r="J17" s="54">
        <f>SUMIFS(PRICING[Rebate $],PRICING[SKU],Rebate_Lookup[[#This Row],[SKU CODE]],PRICING[Set],1)</f>
        <v>0</v>
      </c>
      <c r="K17" s="55">
        <f>SUMIFS(PRICING[Rebate $],PRICING[SKU],Rebate_Lookup[[#This Row],[SKU CODE]],PRICING[Set],2)</f>
        <v>185</v>
      </c>
      <c r="L17" s="56">
        <f>SUMIFS(PRICING[Rebate $],PRICING[SKU],Rebate_Lookup[[#This Row],[SKU CODE]],PRICING[Set],3)</f>
        <v>410</v>
      </c>
      <c r="M17" s="59">
        <f>SUMIF('2025 LL-CALCULATOR - UNITS'!A:A,Rebate_Lookup[[#This Row],[SKU CODE]],'2025 LL-CALCULATOR - UNITS'!J:J)</f>
        <v>0</v>
      </c>
      <c r="N17"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7" s="59">
        <f>COUNTIF('2025 LL-CALCULATOR - UNITS'!A:A,Rebate_Lookup[[#This Row],[SKU CODE]])</f>
        <v>0</v>
      </c>
      <c r="P17" t="b">
        <f>Rebate_Lookup[[#This Row],[Order Form Quantity]]&gt;=3</f>
        <v>0</v>
      </c>
    </row>
    <row r="18" spans="2:16">
      <c r="B18" s="46">
        <v>81701245</v>
      </c>
      <c r="C18" s="32" t="str">
        <f>INDEX(PRICING[Agency/TT],MATCH(Rebate_Lookup[[#This Row],[SKU CODE]],PRICING[SKU],0))</f>
        <v>A</v>
      </c>
      <c r="D18" s="33" t="str">
        <f>INDEX(PRICING[Product],MATCH(B18,PRICING[SKU],0))</f>
        <v>Interface® Stressgard®</v>
      </c>
      <c r="E18" s="33" t="str">
        <f>INDEX(PRICING[Size],MATCH(Rebate_Lookup[[#This Row],[SKU CODE]],PRICING[SKU],0))</f>
        <v>2.5 gal</v>
      </c>
      <c r="F18" s="47">
        <f>COUNTIFS(PRICING[SKU],B18)</f>
        <v>2</v>
      </c>
      <c r="G18" s="38">
        <v>1</v>
      </c>
      <c r="H18" s="34">
        <v>6</v>
      </c>
      <c r="I18" s="39"/>
      <c r="J18" s="54">
        <f>SUMIFS(PRICING[Rebate $],PRICING[SKU],Rebate_Lookup[[#This Row],[SKU CODE]],PRICING[Set],1)</f>
        <v>0</v>
      </c>
      <c r="K18" s="55">
        <f>SUMIFS(PRICING[Rebate $],PRICING[SKU],Rebate_Lookup[[#This Row],[SKU CODE]],PRICING[Set],2)</f>
        <v>90</v>
      </c>
      <c r="L18" s="56">
        <f>SUMIFS(PRICING[Rebate $],PRICING[SKU],Rebate_Lookup[[#This Row],[SKU CODE]],PRICING[Set],3)</f>
        <v>0</v>
      </c>
      <c r="M18" s="59">
        <f>SUMIF('2025 LL-CALCULATOR - UNITS'!A:A,Rebate_Lookup[[#This Row],[SKU CODE]],'2025 LL-CALCULATOR - UNITS'!J:J)</f>
        <v>0</v>
      </c>
      <c r="N18"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8" s="59">
        <f>COUNTIF('2025 LL-CALCULATOR - UNITS'!A:A,Rebate_Lookup[[#This Row],[SKU CODE]])</f>
        <v>0</v>
      </c>
      <c r="P18" t="b">
        <f>Rebate_Lookup[[#This Row],[Order Form Quantity]]&gt;=6</f>
        <v>0</v>
      </c>
    </row>
    <row r="19" spans="2:16">
      <c r="B19" s="46">
        <v>11013671</v>
      </c>
      <c r="C19" s="32" t="str">
        <f>INDEX(PRICING[Agency/TT],MATCH(Rebate_Lookup[[#This Row],[SKU CODE]],PRICING[SKU],0))</f>
        <v>A</v>
      </c>
      <c r="D19" s="33" t="str">
        <f>INDEX(PRICING[Product],MATCH(B19,PRICING[SKU],0))</f>
        <v xml:space="preserve">Kalida® Fungicide </v>
      </c>
      <c r="E19" s="33" t="str">
        <f>INDEX(PRICING[Size],MATCH(Rebate_Lookup[[#This Row],[SKU CODE]],PRICING[SKU],0))</f>
        <v>64 oz</v>
      </c>
      <c r="F19" s="47">
        <f>COUNTIFS(PRICING[SKU],B19)</f>
        <v>2</v>
      </c>
      <c r="G19" s="38">
        <v>1</v>
      </c>
      <c r="H19" s="34">
        <v>4</v>
      </c>
      <c r="I19" s="39"/>
      <c r="J19" s="54">
        <f>SUMIFS(PRICING[Rebate $],PRICING[SKU],Rebate_Lookup[[#This Row],[SKU CODE]],PRICING[Set],1)</f>
        <v>0</v>
      </c>
      <c r="K19" s="55">
        <f>SUMIFS(PRICING[Rebate $],PRICING[SKU],Rebate_Lookup[[#This Row],[SKU CODE]],PRICING[Set],2)</f>
        <v>295</v>
      </c>
      <c r="L19" s="56">
        <f>SUMIFS(PRICING[Rebate $],PRICING[SKU],Rebate_Lookup[[#This Row],[SKU CODE]],PRICING[Set],3)</f>
        <v>0</v>
      </c>
      <c r="M19" s="59">
        <f>SUMIF('2025 LL-CALCULATOR - UNITS'!A:A,Rebate_Lookup[[#This Row],[SKU CODE]],'2025 LL-CALCULATOR - UNITS'!J:J)</f>
        <v>0</v>
      </c>
      <c r="N19"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19" s="59">
        <f>COUNTIF('2025 LL-CALCULATOR - UNITS'!A:A,Rebate_Lookup[[#This Row],[SKU CODE]])</f>
        <v>0</v>
      </c>
      <c r="P19" t="b">
        <f>Rebate_Lookup[[#This Row],[Order Form Quantity]]&gt;=4</f>
        <v>0</v>
      </c>
    </row>
    <row r="20" spans="2:16">
      <c r="B20" s="46" t="s">
        <v>131</v>
      </c>
      <c r="C20" s="32" t="str">
        <f>INDEX(PRICING[Agency/TT],MATCH(Rebate_Lookup[[#This Row],[SKU CODE]],PRICING[SKU],0))</f>
        <v>A</v>
      </c>
      <c r="D20" s="33" t="str">
        <f>INDEX(PRICING[Product],MATCH(B20,PRICING[SKU],0))</f>
        <v>Mirage® Stressgard®</v>
      </c>
      <c r="E20" s="33" t="str">
        <f>INDEX(PRICING[Size],MATCH(Rebate_Lookup[[#This Row],[SKU CODE]],PRICING[SKU],0))</f>
        <v>2.5 gal</v>
      </c>
      <c r="F20" s="47">
        <f>COUNTIFS(PRICING[SKU],B20)</f>
        <v>2</v>
      </c>
      <c r="G20" s="38">
        <v>1</v>
      </c>
      <c r="H20" s="34">
        <v>4</v>
      </c>
      <c r="I20" s="39"/>
      <c r="J20" s="54">
        <f>SUMIFS(PRICING[Rebate $],PRICING[SKU],Rebate_Lookup[[#This Row],[SKU CODE]],PRICING[Set],1)</f>
        <v>0</v>
      </c>
      <c r="K20" s="55">
        <f>SUMIFS(PRICING[Rebate $],PRICING[SKU],Rebate_Lookup[[#This Row],[SKU CODE]],PRICING[Set],2)</f>
        <v>90</v>
      </c>
      <c r="L20" s="56">
        <f>SUMIFS(PRICING[Rebate $],PRICING[SKU],Rebate_Lookup[[#This Row],[SKU CODE]],PRICING[Set],3)</f>
        <v>0</v>
      </c>
      <c r="M20" s="59">
        <f>SUMIF('2025 LL-CALCULATOR - UNITS'!A:A,Rebate_Lookup[[#This Row],[SKU CODE]],'2025 LL-CALCULATOR - UNITS'!J:J)</f>
        <v>0</v>
      </c>
      <c r="N20"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20" s="59">
        <f>COUNTIF('2025 LL-CALCULATOR - UNITS'!A:A,Rebate_Lookup[[#This Row],[SKU CODE]])</f>
        <v>0</v>
      </c>
      <c r="P20" t="b">
        <f>Rebate_Lookup[[#This Row],[Order Form Quantity]]&gt;=4</f>
        <v>0</v>
      </c>
    </row>
    <row r="21" spans="2:16">
      <c r="B21" s="46">
        <v>11003880</v>
      </c>
      <c r="C21" s="32" t="str">
        <f>INDEX(PRICING[Agency/TT],MATCH(Rebate_Lookup[[#This Row],[SKU CODE]],PRICING[SKU],0))</f>
        <v>A</v>
      </c>
      <c r="D21" s="33" t="str">
        <f>INDEX(PRICING[Product],MATCH(B21,PRICING[SKU],0))</f>
        <v xml:space="preserve">Rayora® Fungicide </v>
      </c>
      <c r="E21" s="33" t="str">
        <f>INDEX(PRICING[Size],MATCH(Rebate_Lookup[[#This Row],[SKU CODE]],PRICING[SKU],0))</f>
        <v>2.5 gal</v>
      </c>
      <c r="F21" s="47">
        <f>COUNTIFS(PRICING[SKU],B21)</f>
        <v>2</v>
      </c>
      <c r="G21" s="38">
        <v>1</v>
      </c>
      <c r="H21" s="34">
        <v>6</v>
      </c>
      <c r="I21" s="39"/>
      <c r="J21" s="54">
        <f>SUMIFS(PRICING[Rebate $],PRICING[SKU],Rebate_Lookup[[#This Row],[SKU CODE]],PRICING[Set],1)</f>
        <v>0</v>
      </c>
      <c r="K21" s="55">
        <f>SUMIFS(PRICING[Rebate $],PRICING[SKU],Rebate_Lookup[[#This Row],[SKU CODE]],PRICING[Set],2)</f>
        <v>160</v>
      </c>
      <c r="L21" s="56">
        <f>SUMIFS(PRICING[Rebate $],PRICING[SKU],Rebate_Lookup[[#This Row],[SKU CODE]],PRICING[Set],3)</f>
        <v>0</v>
      </c>
      <c r="M21" s="59">
        <f>SUMIF('2025 LL-CALCULATOR - UNITS'!A:A,Rebate_Lookup[[#This Row],[SKU CODE]],'2025 LL-CALCULATOR - UNITS'!J:J)</f>
        <v>0</v>
      </c>
      <c r="N21"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21" s="59">
        <f>COUNTIF('2025 LL-CALCULATOR - UNITS'!A:A,Rebate_Lookup[[#This Row],[SKU CODE]])</f>
        <v>0</v>
      </c>
      <c r="P21" t="b">
        <f>Rebate_Lookup[[#This Row],[Order Form Quantity]]&gt;=6</f>
        <v>0</v>
      </c>
    </row>
    <row r="22" spans="2:16">
      <c r="B22" s="46" t="s">
        <v>105</v>
      </c>
      <c r="C22" s="32" t="str">
        <f>INDEX(PRICING[Agency/TT],MATCH(Rebate_Lookup[[#This Row],[SKU CODE]],PRICING[SKU],0))</f>
        <v>A</v>
      </c>
      <c r="D22" s="33" t="str">
        <f>INDEX(PRICING[Product],MATCH(B22,PRICING[SKU],0))</f>
        <v>Resilia™</v>
      </c>
      <c r="E22" s="33" t="str">
        <f>INDEX(PRICING[Size],MATCH(Rebate_Lookup[[#This Row],[SKU CODE]],PRICING[SKU],0))</f>
        <v>2.72 gal</v>
      </c>
      <c r="F22" s="47">
        <f>COUNTIFS(PRICING[SKU],B22)</f>
        <v>3</v>
      </c>
      <c r="G22" s="38">
        <v>1</v>
      </c>
      <c r="H22" s="34">
        <v>4</v>
      </c>
      <c r="I22" s="39">
        <v>15</v>
      </c>
      <c r="J22" s="54">
        <f>SUMIFS(PRICING[Rebate $],PRICING[SKU],Rebate_Lookup[[#This Row],[SKU CODE]],PRICING[Set],1)</f>
        <v>0</v>
      </c>
      <c r="K22" s="55">
        <f>SUMIFS(PRICING[Rebate $],PRICING[SKU],Rebate_Lookup[[#This Row],[SKU CODE]],PRICING[Set],2)</f>
        <v>65</v>
      </c>
      <c r="L22" s="56">
        <f>SUMIFS(PRICING[Rebate $],PRICING[SKU],Rebate_Lookup[[#This Row],[SKU CODE]],PRICING[Set],3)</f>
        <v>180</v>
      </c>
      <c r="M22" s="59">
        <f>SUMIF('2025 LL-CALCULATOR - UNITS'!A:A,Rebate_Lookup[[#This Row],[SKU CODE]],'2025 LL-CALCULATOR - UNITS'!J:J)</f>
        <v>0</v>
      </c>
      <c r="N22"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22" s="59">
        <f>COUNTIF('2025 LL-CALCULATOR - UNITS'!A:A,Rebate_Lookup[[#This Row],[SKU CODE]])</f>
        <v>0</v>
      </c>
      <c r="P22" t="b">
        <f>Rebate_Lookup[[#This Row],[Order Form Quantity]]&gt;=4</f>
        <v>0</v>
      </c>
    </row>
    <row r="23" spans="2:16">
      <c r="B23" s="46">
        <v>11014245</v>
      </c>
      <c r="C23" s="32" t="str">
        <f>INDEX(PRICING[Agency/TT],MATCH(Rebate_Lookup[[#This Row],[SKU CODE]],PRICING[SKU],0))</f>
        <v>A</v>
      </c>
      <c r="D23" s="33" t="str">
        <f>INDEX(PRICING[Product],MATCH(B23,PRICING[SKU],0))</f>
        <v xml:space="preserve">Serata® Fungicide </v>
      </c>
      <c r="E23" s="33" t="str">
        <f>INDEX(PRICING[Size],MATCH(Rebate_Lookup[[#This Row],[SKU CODE]],PRICING[SKU],0))</f>
        <v>35 oz</v>
      </c>
      <c r="F23" s="47">
        <f>COUNTIFS(PRICING[SKU],B23)</f>
        <v>2</v>
      </c>
      <c r="G23" s="38">
        <v>1</v>
      </c>
      <c r="H23" s="34">
        <v>8</v>
      </c>
      <c r="I23" s="39"/>
      <c r="J23" s="54">
        <f>SUMIFS(PRICING[Rebate $],PRICING[SKU],Rebate_Lookup[[#This Row],[SKU CODE]],PRICING[Set],1)</f>
        <v>0</v>
      </c>
      <c r="K23" s="55">
        <f>SUMIFS(PRICING[Rebate $],PRICING[SKU],Rebate_Lookup[[#This Row],[SKU CODE]],PRICING[Set],2)</f>
        <v>15</v>
      </c>
      <c r="L23" s="56">
        <f>SUMIFS(PRICING[Rebate $],PRICING[SKU],Rebate_Lookup[[#This Row],[SKU CODE]],PRICING[Set],3)</f>
        <v>0</v>
      </c>
      <c r="M23" s="59">
        <f>SUMIF('2025 LL-CALCULATOR - UNITS'!A:A,Rebate_Lookup[[#This Row],[SKU CODE]],'2025 LL-CALCULATOR - UNITS'!J:J)</f>
        <v>0</v>
      </c>
      <c r="N23"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23" s="59">
        <f>COUNTIF('2025 LL-CALCULATOR - UNITS'!A:A,Rebate_Lookup[[#This Row],[SKU CODE]])</f>
        <v>0</v>
      </c>
      <c r="P23" t="b">
        <f>Rebate_Lookup[[#This Row],[Order Form Quantity]]&gt;=8</f>
        <v>0</v>
      </c>
    </row>
    <row r="24" spans="2:16">
      <c r="B24" s="46" t="s">
        <v>132</v>
      </c>
      <c r="C24" s="32" t="str">
        <f>INDEX(PRICING[Agency/TT],MATCH(Rebate_Lookup[[#This Row],[SKU CODE]],PRICING[SKU],0))</f>
        <v>A</v>
      </c>
      <c r="D24" s="33" t="str">
        <f>INDEX(PRICING[Product],MATCH(B24,PRICING[SKU],0))</f>
        <v xml:space="preserve">Signature™ XTRA Stressgard® </v>
      </c>
      <c r="E24" s="33" t="str">
        <f>INDEX(PRICING[Size],MATCH(Rebate_Lookup[[#This Row],[SKU CODE]],PRICING[SKU],0))</f>
        <v>5.5 lb</v>
      </c>
      <c r="F24" s="47">
        <f>COUNTIFS(PRICING[SKU],B24)</f>
        <v>2</v>
      </c>
      <c r="G24" s="38">
        <v>1</v>
      </c>
      <c r="H24" s="34">
        <v>24</v>
      </c>
      <c r="I24" s="39"/>
      <c r="J24" s="54">
        <f>SUMIFS(PRICING[Rebate $],PRICING[SKU],Rebate_Lookup[[#This Row],[SKU CODE]],PRICING[Set],1)</f>
        <v>0</v>
      </c>
      <c r="K24" s="55">
        <f>SUMIFS(PRICING[Rebate $],PRICING[SKU],Rebate_Lookup[[#This Row],[SKU CODE]],PRICING[Set],2)</f>
        <v>15</v>
      </c>
      <c r="L24" s="56">
        <f>SUMIFS(PRICING[Rebate $],PRICING[SKU],Rebate_Lookup[[#This Row],[SKU CODE]],PRICING[Set],3)</f>
        <v>0</v>
      </c>
      <c r="M24" s="59">
        <f>SUMIF('2025 LL-CALCULATOR - UNITS'!A:A,Rebate_Lookup[[#This Row],[SKU CODE]],'2025 LL-CALCULATOR - UNITS'!J:J)</f>
        <v>0</v>
      </c>
      <c r="N24"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24" s="59">
        <f>COUNTIF('2025 LL-CALCULATOR - UNITS'!A:A,Rebate_Lookup[[#This Row],[SKU CODE]])</f>
        <v>0</v>
      </c>
      <c r="P24" t="b">
        <f>Rebate_Lookup[[#This Row],[Order Form Quantity]]&gt;=24</f>
        <v>0</v>
      </c>
    </row>
    <row r="25" spans="2:16">
      <c r="B25" s="46" t="s">
        <v>133</v>
      </c>
      <c r="C25" s="32" t="str">
        <f>INDEX(PRICING[Agency/TT],MATCH(Rebate_Lookup[[#This Row],[SKU CODE]],PRICING[SKU],0))</f>
        <v>A</v>
      </c>
      <c r="D25" s="33" t="str">
        <f>INDEX(PRICING[Product],MATCH(B25,PRICING[SKU],0))</f>
        <v xml:space="preserve">Tartan® Stressgard® </v>
      </c>
      <c r="E25" s="33" t="str">
        <f>INDEX(PRICING[Size],MATCH(Rebate_Lookup[[#This Row],[SKU CODE]],PRICING[SKU],0))</f>
        <v>2.5 gal</v>
      </c>
      <c r="F25" s="47">
        <f>COUNTIFS(PRICING[SKU],B25)</f>
        <v>2</v>
      </c>
      <c r="G25" s="38">
        <v>1</v>
      </c>
      <c r="H25" s="34">
        <v>6</v>
      </c>
      <c r="I25" s="39"/>
      <c r="J25" s="54">
        <f>SUMIFS(PRICING[Rebate $],PRICING[SKU],Rebate_Lookup[[#This Row],[SKU CODE]],PRICING[Set],1)</f>
        <v>0</v>
      </c>
      <c r="K25" s="154">
        <v>5</v>
      </c>
      <c r="L25" s="56">
        <f>SUMIFS(PRICING[Rebate $],PRICING[SKU],Rebate_Lookup[[#This Row],[SKU CODE]],PRICING[Set],3)</f>
        <v>0</v>
      </c>
      <c r="M25" s="59">
        <f>SUMIF('2025 LL-CALCULATOR - UNITS'!A:A,Rebate_Lookup[[#This Row],[SKU CODE]],'2025 LL-CALCULATOR - UNITS'!J:J)</f>
        <v>0</v>
      </c>
      <c r="N25"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25" s="59">
        <f>COUNTIF('2025 LL-CALCULATOR - UNITS'!A:A,Rebate_Lookup[[#This Row],[SKU CODE]])</f>
        <v>0</v>
      </c>
      <c r="P25" t="b">
        <f>Rebate_Lookup[[#This Row],[Order Form Quantity]]&gt;=6</f>
        <v>0</v>
      </c>
    </row>
    <row r="26" spans="2:16">
      <c r="B26" s="46">
        <v>11015981</v>
      </c>
      <c r="C26" s="32" t="str">
        <f>INDEX(PRICING[Agency/TT],MATCH(Rebate_Lookup[[#This Row],[SKU CODE]],PRICING[SKU],0))</f>
        <v>A</v>
      </c>
      <c r="D26" s="33" t="str">
        <f>INDEX(PRICING[Product],MATCH(B26,PRICING[SKU],0))</f>
        <v>Tarvecta</v>
      </c>
      <c r="E26" s="33" t="str">
        <f>INDEX(PRICING[Size],MATCH(Rebate_Lookup[[#This Row],[SKU CODE]],PRICING[SKU],0))</f>
        <v>2.5 gal</v>
      </c>
      <c r="F26" s="47">
        <f>COUNTIFS(PRICING[SKU],B26)</f>
        <v>2</v>
      </c>
      <c r="G26" s="38">
        <v>1</v>
      </c>
      <c r="H26" s="34">
        <v>3</v>
      </c>
      <c r="I26" s="39"/>
      <c r="J26" s="54">
        <f>SUMIFS(PRICING[Rebate $],PRICING[SKU],Rebate_Lookup[[#This Row],[SKU CODE]],PRICING[Set],1)</f>
        <v>0</v>
      </c>
      <c r="K26" s="154">
        <v>400</v>
      </c>
      <c r="L26" s="56">
        <f>SUMIFS(PRICING[Rebate $],PRICING[SKU],Rebate_Lookup[[#This Row],[SKU CODE]],PRICING[Set],3)</f>
        <v>0</v>
      </c>
      <c r="M26" s="59">
        <f>SUMIF('2025 LL-CALCULATOR - UNITS'!A:A,Rebate_Lookup[[#This Row],[SKU CODE]],'2025 LL-CALCULATOR - UNITS'!J:J)</f>
        <v>0</v>
      </c>
      <c r="N26"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26" s="59">
        <f>COUNTIF('2025 LL-CALCULATOR - UNITS'!A:A,Rebate_Lookup[[#This Row],[SKU CODE]])</f>
        <v>0</v>
      </c>
      <c r="P26" t="b">
        <f>Rebate_Lookup[[#This Row],[Order Form Quantity]]&gt;=3</f>
        <v>0</v>
      </c>
    </row>
    <row r="27" spans="2:16">
      <c r="B27" s="46">
        <v>11015990</v>
      </c>
      <c r="C27" s="32" t="str">
        <f>INDEX(PRICING[Agency/TT],MATCH(Rebate_Lookup[[#This Row],[SKU CODE]],PRICING[SKU],0))</f>
        <v>A</v>
      </c>
      <c r="D27" s="33" t="str">
        <f>INDEX(PRICING[Product],MATCH(B27,PRICING[SKU],0))</f>
        <v>Tarvecta</v>
      </c>
      <c r="E27" s="33" t="str">
        <f>INDEX(PRICING[Size],MATCH(Rebate_Lookup[[#This Row],[SKU CODE]],PRICING[SKU],0))</f>
        <v>64 oz</v>
      </c>
      <c r="F27" s="47">
        <f>COUNTIFS(PRICING[SKU],B27)</f>
        <v>2</v>
      </c>
      <c r="G27" s="38">
        <v>1</v>
      </c>
      <c r="H27" s="34">
        <v>4</v>
      </c>
      <c r="I27" s="39"/>
      <c r="J27" s="54">
        <f>SUMIFS(PRICING[Rebate $],PRICING[SKU],Rebate_Lookup[[#This Row],[SKU CODE]],PRICING[Set],1)</f>
        <v>0</v>
      </c>
      <c r="K27" s="154">
        <v>145</v>
      </c>
      <c r="L27" s="56">
        <f>SUMIFS(PRICING[Rebate $],PRICING[SKU],Rebate_Lookup[[#This Row],[SKU CODE]],PRICING[Set],3)</f>
        <v>0</v>
      </c>
      <c r="M27" s="59">
        <f>SUMIF('2025 LL-CALCULATOR - UNITS'!A:A,Rebate_Lookup[[#This Row],[SKU CODE]],'2025 LL-CALCULATOR - UNITS'!J:J)</f>
        <v>0</v>
      </c>
      <c r="N27"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27" s="59">
        <f>COUNTIF('2025 LL-CALCULATOR - UNITS'!A:A,Rebate_Lookup[[#This Row],[SKU CODE]])</f>
        <v>0</v>
      </c>
      <c r="P27" t="b">
        <f>Rebate_Lookup[[#This Row],[Order Form Quantity]]&gt;=4</f>
        <v>0</v>
      </c>
    </row>
    <row r="28" spans="2:16">
      <c r="B28" s="137" t="s">
        <v>134</v>
      </c>
      <c r="C28" s="138" t="str">
        <f>INDEX(PRICING[Agency/TT],MATCH(Rebate_Lookup[[#This Row],[SKU CODE]],PRICING[SKU],0))</f>
        <v>TT</v>
      </c>
      <c r="D28" s="139" t="str">
        <f>INDEX(PRICING[Product],MATCH(B28,PRICING[SKU],0))</f>
        <v>Acclaim Accelerate</v>
      </c>
      <c r="E28" s="139" t="str">
        <f>INDEX(PRICING[Size],MATCH(Rebate_Lookup[[#This Row],[SKU CODE]],PRICING[SKU],0))</f>
        <v>0.5 gal</v>
      </c>
      <c r="F28" s="140">
        <f>COUNTIFS(PRICING[SKU],B28)</f>
        <v>1</v>
      </c>
      <c r="G28" s="38" t="s">
        <v>135</v>
      </c>
      <c r="H28" s="34"/>
      <c r="I28" s="39"/>
      <c r="J28" s="54">
        <f>SUMIFS(PRICING[Rebate $],PRICING[SKU],Rebate_Lookup[[#This Row],[SKU CODE]],PRICING[Set],1)</f>
        <v>7.5</v>
      </c>
      <c r="K28" s="55">
        <f>SUMIFS(PRICING[Rebate $],PRICING[SKU],Rebate_Lookup[[#This Row],[SKU CODE]],PRICING[Set],2)</f>
        <v>0</v>
      </c>
      <c r="L28" s="56">
        <f>SUMIFS(PRICING[Rebate $],PRICING[SKU],Rebate_Lookup[[#This Row],[SKU CODE]],PRICING[Set],3)</f>
        <v>0</v>
      </c>
      <c r="M28" s="59">
        <f>SUMIF('2025 LL-CALCULATOR - UNITS'!A:A,Rebate_Lookup[[#This Row],[SKU CODE]],'2025 LL-CALCULATOR - UNITS'!J:J)</f>
        <v>0</v>
      </c>
      <c r="N28"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28" s="59">
        <f>COUNTIF('2025 LL-CALCULATOR - UNITS'!A:A,Rebate_Lookup[[#This Row],[SKU CODE]])</f>
        <v>0</v>
      </c>
      <c r="P28">
        <v>0</v>
      </c>
    </row>
    <row r="29" spans="2:16">
      <c r="B29" s="137" t="s">
        <v>136</v>
      </c>
      <c r="C29" s="138" t="str">
        <f>INDEX(PRICING[Agency/TT],MATCH(Rebate_Lookup[[#This Row],[SKU CODE]],PRICING[SKU],0))</f>
        <v>TT</v>
      </c>
      <c r="D29" s="139" t="str">
        <f>INDEX(PRICING[Product],MATCH(B29,PRICING[SKU],0))</f>
        <v>Acclaim Accelerate</v>
      </c>
      <c r="E29" s="139" t="str">
        <f>INDEX(PRICING[Size],MATCH(Rebate_Lookup[[#This Row],[SKU CODE]],PRICING[SKU],0))</f>
        <v xml:space="preserve">2.5 gal </v>
      </c>
      <c r="F29" s="140">
        <f>COUNTIFS(PRICING[SKU],B29)</f>
        <v>1</v>
      </c>
      <c r="G29" s="38" t="s">
        <v>135</v>
      </c>
      <c r="H29" s="34"/>
      <c r="I29" s="39"/>
      <c r="J29" s="54">
        <f>SUMIFS(PRICING[Rebate $],PRICING[SKU],Rebate_Lookup[[#This Row],[SKU CODE]],PRICING[Set],1)</f>
        <v>37.5</v>
      </c>
      <c r="K29" s="55">
        <f>SUMIFS(PRICING[Rebate $],PRICING[SKU],Rebate_Lookup[[#This Row],[SKU CODE]],PRICING[Set],2)</f>
        <v>0</v>
      </c>
      <c r="L29" s="56">
        <f>SUMIFS(PRICING[Rebate $],PRICING[SKU],Rebate_Lookup[[#This Row],[SKU CODE]],PRICING[Set],3)</f>
        <v>0</v>
      </c>
      <c r="M29" s="59">
        <f>SUMIF('2025 LL-CALCULATOR - UNITS'!A:A,Rebate_Lookup[[#This Row],[SKU CODE]],'2025 LL-CALCULATOR - UNITS'!J:J)</f>
        <v>0</v>
      </c>
      <c r="N29"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29" s="59">
        <f>COUNTIF('2025 LL-CALCULATOR - UNITS'!A:A,Rebate_Lookup[[#This Row],[SKU CODE]])</f>
        <v>0</v>
      </c>
      <c r="P29">
        <v>0</v>
      </c>
    </row>
    <row r="30" spans="2:16">
      <c r="B30" s="46">
        <v>87300722</v>
      </c>
      <c r="C30" s="32" t="str">
        <f>INDEX(PRICING[Agency/TT],MATCH(Rebate_Lookup[[#This Row],[SKU CODE]],PRICING[SKU],0))</f>
        <v>TT</v>
      </c>
      <c r="D30" s="33" t="str">
        <f>INDEX(PRICING[Product],MATCH(B30,PRICING[SKU],0))</f>
        <v>Acclaim Extra</v>
      </c>
      <c r="E30" s="33" t="str">
        <f>INDEX(PRICING[Size],MATCH(Rebate_Lookup[[#This Row],[SKU CODE]],PRICING[SKU],0))</f>
        <v>1 gal</v>
      </c>
      <c r="F30" s="47">
        <f>COUNTIFS(PRICING[SKU],B30)</f>
        <v>1</v>
      </c>
      <c r="G30" s="38">
        <v>1</v>
      </c>
      <c r="H30" s="34"/>
      <c r="I30" s="39"/>
      <c r="J30" s="54">
        <f>SUMIFS(PRICING[Rebate $],PRICING[SKU],Rebate_Lookup[[#This Row],[SKU CODE]],PRICING[Set],1)</f>
        <v>90</v>
      </c>
      <c r="K30" s="55">
        <f>SUMIFS(PRICING[Rebate $],PRICING[SKU],Rebate_Lookup[[#This Row],[SKU CODE]],PRICING[Set],2)</f>
        <v>0</v>
      </c>
      <c r="L30" s="56">
        <f>SUMIFS(PRICING[Rebate $],PRICING[SKU],Rebate_Lookup[[#This Row],[SKU CODE]],PRICING[Set],3)</f>
        <v>0</v>
      </c>
      <c r="M30" s="59">
        <f>SUMIF('2025 LL-CALCULATOR - UNITS'!A:A,Rebate_Lookup[[#This Row],[SKU CODE]],'2025 LL-CALCULATOR - UNITS'!J:J)</f>
        <v>0</v>
      </c>
      <c r="N30"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0" s="59">
        <f>COUNTIF('2025 LL-CALCULATOR - UNITS'!A:A,Rebate_Lookup[[#This Row],[SKU CODE]])</f>
        <v>0</v>
      </c>
      <c r="P30">
        <v>0</v>
      </c>
    </row>
    <row r="31" spans="2:16">
      <c r="B31" s="46">
        <v>11008351</v>
      </c>
      <c r="C31" s="32" t="str">
        <f>INDEX(PRICING[Agency/TT],MATCH(Rebate_Lookup[[#This Row],[SKU CODE]],PRICING[SKU],0))</f>
        <v>TT</v>
      </c>
      <c r="D31" s="33" t="str">
        <f>INDEX(PRICING[Product],MATCH(B31,PRICING[SKU],0))</f>
        <v xml:space="preserve">Blindside® Herbicide </v>
      </c>
      <c r="E31" s="33" t="str">
        <f>INDEX(PRICING[Size],MATCH(Rebate_Lookup[[#This Row],[SKU CODE]],PRICING[SKU],0))</f>
        <v>0.5 lb</v>
      </c>
      <c r="F31" s="47">
        <f>COUNTIFS(PRICING[SKU],B31)</f>
        <v>1</v>
      </c>
      <c r="G31" s="38">
        <v>1</v>
      </c>
      <c r="H31" s="34"/>
      <c r="I31" s="39"/>
      <c r="J31" s="54">
        <f>SUMIFS(PRICING[Rebate $],PRICING[SKU],Rebate_Lookup[[#This Row],[SKU CODE]],PRICING[Set],1)</f>
        <v>22</v>
      </c>
      <c r="K31" s="55">
        <f>SUMIFS(PRICING[Rebate $],PRICING[SKU],Rebate_Lookup[[#This Row],[SKU CODE]],PRICING[Set],2)</f>
        <v>0</v>
      </c>
      <c r="L31" s="56">
        <f>SUMIFS(PRICING[Rebate $],PRICING[SKU],Rebate_Lookup[[#This Row],[SKU CODE]],PRICING[Set],3)</f>
        <v>0</v>
      </c>
      <c r="M31" s="59">
        <f>SUMIF('2025 LL-CALCULATOR - UNITS'!A:A,Rebate_Lookup[[#This Row],[SKU CODE]],'2025 LL-CALCULATOR - UNITS'!J:J)</f>
        <v>0</v>
      </c>
      <c r="N31"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1" s="59">
        <f>COUNTIF('2025 LL-CALCULATOR - UNITS'!A:A,Rebate_Lookup[[#This Row],[SKU CODE]])</f>
        <v>0</v>
      </c>
      <c r="P31">
        <v>0</v>
      </c>
    </row>
    <row r="32" spans="2:16">
      <c r="B32" s="46">
        <v>79714858</v>
      </c>
      <c r="C32" s="32" t="str">
        <f>INDEX(PRICING[Agency/TT],MATCH(Rebate_Lookup[[#This Row],[SKU CODE]],PRICING[SKU],0))</f>
        <v>A</v>
      </c>
      <c r="D32" s="33" t="str">
        <f>INDEX(PRICING[Product],MATCH(B32,PRICING[SKU],0))</f>
        <v>Celsius® WG</v>
      </c>
      <c r="E32" s="33" t="str">
        <f>INDEX(PRICING[Size],MATCH(Rebate_Lookup[[#This Row],[SKU CODE]],PRICING[SKU],0))</f>
        <v>10 oz</v>
      </c>
      <c r="F32" s="47">
        <f>COUNTIFS(PRICING[SKU],B32)</f>
        <v>3</v>
      </c>
      <c r="G32" s="38">
        <v>1</v>
      </c>
      <c r="H32" s="34">
        <v>48</v>
      </c>
      <c r="I32" s="39">
        <v>96</v>
      </c>
      <c r="J32" s="54">
        <f>SUMIFS(PRICING[Rebate $],PRICING[SKU],Rebate_Lookup[[#This Row],[SKU CODE]],PRICING[Set],1)</f>
        <v>0</v>
      </c>
      <c r="K32" s="55">
        <f>SUMIFS(PRICING[Rebate $],PRICING[SKU],Rebate_Lookup[[#This Row],[SKU CODE]],PRICING[Set],2)</f>
        <v>12</v>
      </c>
      <c r="L32" s="56">
        <f>SUMIFS(PRICING[Rebate $],PRICING[SKU],Rebate_Lookup[[#This Row],[SKU CODE]],PRICING[Set],3)</f>
        <v>24</v>
      </c>
      <c r="M32" s="59">
        <f>SUMIF('2025 LL-CALCULATOR - UNITS'!A:A,Rebate_Lookup[[#This Row],[SKU CODE]],'2025 LL-CALCULATOR - UNITS'!J:J)</f>
        <v>0</v>
      </c>
      <c r="N32"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2" s="59">
        <f>COUNTIF('2025 LL-CALCULATOR - UNITS'!A:A,Rebate_Lookup[[#This Row],[SKU CODE]])</f>
        <v>1</v>
      </c>
      <c r="P32" t="b">
        <f>Rebate_Lookup[[#This Row],[Order Form Quantity]]&gt;=48</f>
        <v>0</v>
      </c>
    </row>
    <row r="33" spans="2:16">
      <c r="B33" s="46" t="s">
        <v>55</v>
      </c>
      <c r="C33" s="32" t="str">
        <f>INDEX(PRICING[Agency/TT],MATCH(Rebate_Lookup[[#This Row],[SKU CODE]],PRICING[SKU],0))</f>
        <v>A</v>
      </c>
      <c r="D33" s="33" t="str">
        <f>INDEX(PRICING[Product],MATCH(B33,PRICING[SKU],0))</f>
        <v>Celsius® XTRA</v>
      </c>
      <c r="E33" s="33" t="str">
        <f>INDEX(PRICING[Size],MATCH(Rebate_Lookup[[#This Row],[SKU CODE]],PRICING[SKU],0))</f>
        <v>10 oz</v>
      </c>
      <c r="F33" s="47">
        <f>COUNTIFS(PRICING[SKU],B33)</f>
        <v>3</v>
      </c>
      <c r="G33" s="38">
        <v>1</v>
      </c>
      <c r="H33" s="34">
        <v>16</v>
      </c>
      <c r="I33" s="39">
        <v>32</v>
      </c>
      <c r="J33" s="54">
        <f>SUMIFS(PRICING[Rebate $],PRICING[SKU],Rebate_Lookup[[#This Row],[SKU CODE]],PRICING[Set],1)</f>
        <v>0</v>
      </c>
      <c r="K33" s="55">
        <f>SUMIFS(PRICING[Rebate $],PRICING[SKU],Rebate_Lookup[[#This Row],[SKU CODE]],PRICING[Set],2)</f>
        <v>12</v>
      </c>
      <c r="L33" s="56">
        <f>SUMIFS(PRICING[Rebate $],PRICING[SKU],Rebate_Lookup[[#This Row],[SKU CODE]],PRICING[Set],3)</f>
        <v>24</v>
      </c>
      <c r="M33" s="59">
        <f>SUMIF('2025 LL-CALCULATOR - UNITS'!A:A,Rebate_Lookup[[#This Row],[SKU CODE]],'2025 LL-CALCULATOR - UNITS'!J:J)</f>
        <v>0</v>
      </c>
      <c r="N33"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3" s="59">
        <f>COUNTIF('2025 LL-CALCULATOR - UNITS'!A:A,Rebate_Lookup[[#This Row],[SKU CODE]])</f>
        <v>1</v>
      </c>
      <c r="P33" t="b">
        <f>Rebate_Lookup[[#This Row],[Order Form Quantity]]&gt;=16</f>
        <v>0</v>
      </c>
    </row>
    <row r="34" spans="2:16">
      <c r="B34" s="46">
        <v>11008357</v>
      </c>
      <c r="C34" s="32" t="str">
        <f>INDEX(PRICING[Agency/TT],MATCH(Rebate_Lookup[[#This Row],[SKU CODE]],PRICING[SKU],0))</f>
        <v>TT</v>
      </c>
      <c r="D34" s="33" t="str">
        <f>INDEX(PRICING[Product],MATCH(B34,PRICING[SKU],0))</f>
        <v>Dismiss® CA Herbicide</v>
      </c>
      <c r="E34" s="33" t="str">
        <f>INDEX(PRICING[Size],MATCH(Rebate_Lookup[[#This Row],[SKU CODE]],PRICING[SKU],0))</f>
        <v>6 oz</v>
      </c>
      <c r="F34" s="47">
        <f>COUNTIFS(PRICING[SKU],B34)</f>
        <v>1</v>
      </c>
      <c r="G34" s="38"/>
      <c r="H34" s="34"/>
      <c r="I34" s="39"/>
      <c r="J34" s="54">
        <f>SUMIFS(PRICING[Rebate $],PRICING[SKU],Rebate_Lookup[[#This Row],[SKU CODE]],PRICING[Set],1)</f>
        <v>14</v>
      </c>
      <c r="K34" s="55">
        <f>SUMIFS(PRICING[Rebate $],PRICING[SKU],Rebate_Lookup[[#This Row],[SKU CODE]],PRICING[Set],2)</f>
        <v>0</v>
      </c>
      <c r="L34" s="56">
        <f>SUMIFS(PRICING[Rebate $],PRICING[SKU],Rebate_Lookup[[#This Row],[SKU CODE]],PRICING[Set],3)</f>
        <v>0</v>
      </c>
      <c r="M34" s="59">
        <f>SUMIF('2025 LL-CALCULATOR - UNITS'!A:A,Rebate_Lookup[[#This Row],[SKU CODE]],'2025 LL-CALCULATOR - UNITS'!J:J)</f>
        <v>0</v>
      </c>
      <c r="N34"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4" s="59">
        <f>COUNTIF('2025 LL-CALCULATOR - UNITS'!A:A,Rebate_Lookup[[#This Row],[SKU CODE]])</f>
        <v>0</v>
      </c>
      <c r="P34">
        <v>0</v>
      </c>
    </row>
    <row r="35" spans="2:16">
      <c r="B35" s="46">
        <v>11008409</v>
      </c>
      <c r="C35" s="32" t="str">
        <f>INDEX(PRICING[Agency/TT],MATCH(Rebate_Lookup[[#This Row],[SKU CODE]],PRICING[SKU],0))</f>
        <v>A</v>
      </c>
      <c r="D35" s="33" t="str">
        <f>INDEX(PRICING[Product],MATCH(B35,PRICING[SKU],0))</f>
        <v>Dismiss® NXT Herbicide</v>
      </c>
      <c r="E35" s="33" t="str">
        <f>INDEX(PRICING[Size],MATCH(Rebate_Lookup[[#This Row],[SKU CODE]],PRICING[SKU],0))</f>
        <v>10 oz</v>
      </c>
      <c r="F35" s="47">
        <f>COUNTIFS(PRICING[SKU],B35)</f>
        <v>1</v>
      </c>
      <c r="G35" s="38"/>
      <c r="H35" s="34"/>
      <c r="I35" s="39"/>
      <c r="J35" s="54">
        <f>SUMIFS(PRICING[Rebate $],PRICING[SKU],Rebate_Lookup[[#This Row],[SKU CODE]],PRICING[Set],1)</f>
        <v>11</v>
      </c>
      <c r="K35" s="55">
        <f>SUMIFS(PRICING[Rebate $],PRICING[SKU],Rebate_Lookup[[#This Row],[SKU CODE]],PRICING[Set],2)</f>
        <v>0</v>
      </c>
      <c r="L35" s="56">
        <f>SUMIFS(PRICING[Rebate $],PRICING[SKU],Rebate_Lookup[[#This Row],[SKU CODE]],PRICING[Set],3)</f>
        <v>0</v>
      </c>
      <c r="M35" s="59">
        <f>SUMIF('2025 LL-CALCULATOR - UNITS'!A:A,Rebate_Lookup[[#This Row],[SKU CODE]],'2025 LL-CALCULATOR - UNITS'!J:J)</f>
        <v>0</v>
      </c>
      <c r="N35"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5" s="59">
        <f>COUNTIF('2025 LL-CALCULATOR - UNITS'!A:A,Rebate_Lookup[[#This Row],[SKU CODE]])</f>
        <v>0</v>
      </c>
      <c r="P35">
        <v>0</v>
      </c>
    </row>
    <row r="36" spans="2:16">
      <c r="B36" s="137">
        <v>11008589</v>
      </c>
      <c r="C36" s="138" t="str">
        <f>INDEX(PRICING[Agency/TT],MATCH(Rebate_Lookup[[#This Row],[SKU CODE]],PRICING[SKU],0))</f>
        <v>A</v>
      </c>
      <c r="D36" s="139" t="str">
        <f>INDEX(PRICING[Product],MATCH(B36,PRICING[SKU],0))</f>
        <v>Dismiss® NXT Herbicide</v>
      </c>
      <c r="E36" s="139" t="str">
        <f>INDEX(PRICING[Size],MATCH(Rebate_Lookup[[#This Row],[SKU CODE]],PRICING[SKU],0))</f>
        <v>60 oz</v>
      </c>
      <c r="F36" s="140">
        <f>COUNTIFS(PRICING[SKU],B36)</f>
        <v>3</v>
      </c>
      <c r="G36" s="38">
        <v>1</v>
      </c>
      <c r="H36" s="34">
        <v>16</v>
      </c>
      <c r="I36" s="39">
        <v>32</v>
      </c>
      <c r="J36" s="54">
        <f>SUMIFS(PRICING[Rebate $],PRICING[SKU],Rebate_Lookup[[#This Row],[SKU CODE]],PRICING[Set],1)</f>
        <v>0</v>
      </c>
      <c r="K36" s="55">
        <f>SUMIFS(PRICING[Rebate $],PRICING[SKU],Rebate_Lookup[[#This Row],[SKU CODE]],PRICING[Set],2)</f>
        <v>60</v>
      </c>
      <c r="L36" s="56">
        <f>SUMIFS(PRICING[Rebate $],PRICING[SKU],Rebate_Lookup[[#This Row],[SKU CODE]],PRICING[Set],3)</f>
        <v>150</v>
      </c>
      <c r="M36" s="59">
        <f>SUMIF('2025 LL-CALCULATOR - UNITS'!A:A,Rebate_Lookup[[#This Row],[SKU CODE]],'2025 LL-CALCULATOR - UNITS'!J:J)</f>
        <v>0</v>
      </c>
      <c r="N36"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6" s="59">
        <f>COUNTIF('2025 LL-CALCULATOR - UNITS'!A:A,Rebate_Lookup[[#This Row],[SKU CODE]])</f>
        <v>0</v>
      </c>
      <c r="P36" s="141" t="b">
        <f>Rebate_Lookup[[#This Row],[Order Form Quantity]]&gt;=16</f>
        <v>0</v>
      </c>
    </row>
    <row r="37" spans="2:16">
      <c r="B37" s="46">
        <v>11008474</v>
      </c>
      <c r="C37" s="32" t="str">
        <f>INDEX(PRICING[Agency/TT],MATCH(Rebate_Lookup[[#This Row],[SKU CODE]],PRICING[SKU],0))</f>
        <v>TT</v>
      </c>
      <c r="D37" s="33" t="str">
        <f>INDEX(PRICING[Product],MATCH(B37,PRICING[SKU],0))</f>
        <v>Dismiss® South Herbicide</v>
      </c>
      <c r="E37" s="33" t="str">
        <f>INDEX(PRICING[Size],MATCH(Rebate_Lookup[[#This Row],[SKU CODE]],PRICING[SKU],0))</f>
        <v xml:space="preserve">1 pint </v>
      </c>
      <c r="F37" s="47">
        <f>COUNTIFS(PRICING[SKU],B37)</f>
        <v>1</v>
      </c>
      <c r="G37" s="38">
        <v>1</v>
      </c>
      <c r="H37" s="34"/>
      <c r="I37" s="39"/>
      <c r="J37" s="54">
        <f>SUMIFS(PRICING[Rebate $],PRICING[SKU],Rebate_Lookup[[#This Row],[SKU CODE]],PRICING[Set],1)</f>
        <v>24</v>
      </c>
      <c r="K37" s="55">
        <f>SUMIFS(PRICING[Rebate $],PRICING[SKU],Rebate_Lookup[[#This Row],[SKU CODE]],PRICING[Set],2)</f>
        <v>0</v>
      </c>
      <c r="L37" s="56">
        <f>SUMIFS(PRICING[Rebate $],PRICING[SKU],Rebate_Lookup[[#This Row],[SKU CODE]],PRICING[Set],3)</f>
        <v>0</v>
      </c>
      <c r="M37" s="59">
        <f>SUMIF('2025 LL-CALCULATOR - UNITS'!A:A,Rebate_Lookup[[#This Row],[SKU CODE]],'2025 LL-CALCULATOR - UNITS'!J:J)</f>
        <v>0</v>
      </c>
      <c r="N37"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7" s="59">
        <f>COUNTIF('2025 LL-CALCULATOR - UNITS'!A:A,Rebate_Lookup[[#This Row],[SKU CODE]])</f>
        <v>0</v>
      </c>
      <c r="P37">
        <v>0</v>
      </c>
    </row>
    <row r="38" spans="2:16">
      <c r="B38" s="46">
        <v>11008475</v>
      </c>
      <c r="C38" s="32" t="str">
        <f>INDEX(PRICING[Agency/TT],MATCH(Rebate_Lookup[[#This Row],[SKU CODE]],PRICING[SKU],0))</f>
        <v>TT</v>
      </c>
      <c r="D38" s="33" t="str">
        <f>INDEX(PRICING[Product],MATCH(B38,PRICING[SKU],0))</f>
        <v>Dismiss® Turf Herbicide</v>
      </c>
      <c r="E38" s="33" t="str">
        <f>INDEX(PRICING[Size],MATCH(Rebate_Lookup[[#This Row],[SKU CODE]],PRICING[SKU],0))</f>
        <v>6 oz</v>
      </c>
      <c r="F38" s="47">
        <f>COUNTIFS(PRICING[SKU],B38)</f>
        <v>1</v>
      </c>
      <c r="G38" s="38">
        <v>1</v>
      </c>
      <c r="H38" s="34"/>
      <c r="I38" s="39"/>
      <c r="J38" s="54">
        <f>SUMIFS(PRICING[Rebate $],PRICING[SKU],Rebate_Lookup[[#This Row],[SKU CODE]],PRICING[Set],1)</f>
        <v>14</v>
      </c>
      <c r="K38" s="55">
        <f>SUMIFS(PRICING[Rebate $],PRICING[SKU],Rebate_Lookup[[#This Row],[SKU CODE]],PRICING[Set],2)</f>
        <v>0</v>
      </c>
      <c r="L38" s="56">
        <f>SUMIFS(PRICING[Rebate $],PRICING[SKU],Rebate_Lookup[[#This Row],[SKU CODE]],PRICING[Set],3)</f>
        <v>0</v>
      </c>
      <c r="M38" s="59">
        <f>SUMIF('2025 LL-CALCULATOR - UNITS'!A:A,Rebate_Lookup[[#This Row],[SKU CODE]],'2025 LL-CALCULATOR - UNITS'!J:J)</f>
        <v>0</v>
      </c>
      <c r="N38"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8" s="59">
        <f>COUNTIF('2025 LL-CALCULATOR - UNITS'!A:A,Rebate_Lookup[[#This Row],[SKU CODE]])</f>
        <v>0</v>
      </c>
      <c r="P38">
        <v>0</v>
      </c>
    </row>
    <row r="39" spans="2:16">
      <c r="B39" s="46">
        <v>11008336</v>
      </c>
      <c r="C39" s="32" t="str">
        <f>INDEX(PRICING[Agency/TT],MATCH(Rebate_Lookup[[#This Row],[SKU CODE]],PRICING[SKU],0))</f>
        <v>TT</v>
      </c>
      <c r="D39" s="33" t="str">
        <f>INDEX(PRICING[Product],MATCH(B39,PRICING[SKU],0))</f>
        <v>Dismiss® Turf Herbicide</v>
      </c>
      <c r="E39" s="33" t="str">
        <f>INDEX(PRICING[Size],MATCH(Rebate_Lookup[[#This Row],[SKU CODE]],PRICING[SKU],0))</f>
        <v>64 oz</v>
      </c>
      <c r="F39" s="47">
        <f>COUNTIFS(PRICING[SKU],B39)</f>
        <v>1</v>
      </c>
      <c r="G39" s="38">
        <v>1</v>
      </c>
      <c r="H39" s="34"/>
      <c r="I39" s="39"/>
      <c r="J39" s="54">
        <f>SUMIFS(PRICING[Rebate $],PRICING[SKU],Rebate_Lookup[[#This Row],[SKU CODE]],PRICING[Set],1)</f>
        <v>40</v>
      </c>
      <c r="K39" s="55">
        <f>SUMIFS(PRICING[Rebate $],PRICING[SKU],Rebate_Lookup[[#This Row],[SKU CODE]],PRICING[Set],2)</f>
        <v>0</v>
      </c>
      <c r="L39" s="56">
        <f>SUMIFS(PRICING[Rebate $],PRICING[SKU],Rebate_Lookup[[#This Row],[SKU CODE]],PRICING[Set],3)</f>
        <v>0</v>
      </c>
      <c r="M39" s="59">
        <f>SUMIF('2025 LL-CALCULATOR - UNITS'!A:A,Rebate_Lookup[[#This Row],[SKU CODE]],'2025 LL-CALCULATOR - UNITS'!J:J)</f>
        <v>0</v>
      </c>
      <c r="N39"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39" s="59">
        <f>COUNTIF('2025 LL-CALCULATOR - UNITS'!A:A,Rebate_Lookup[[#This Row],[SKU CODE]])</f>
        <v>0</v>
      </c>
      <c r="P39">
        <v>0</v>
      </c>
    </row>
    <row r="40" spans="2:16">
      <c r="B40" s="46">
        <v>11008464</v>
      </c>
      <c r="C40" s="32" t="str">
        <f>INDEX(PRICING[Agency/TT],MATCH(Rebate_Lookup[[#This Row],[SKU CODE]],PRICING[SKU],0))</f>
        <v>A</v>
      </c>
      <c r="D40" s="33" t="str">
        <f>INDEX(PRICING[Product],MATCH(B40,PRICING[SKU],0))</f>
        <v>Echelon® 4SC Herbicide</v>
      </c>
      <c r="E40" s="33" t="str">
        <f>INDEX(PRICING[Size],MATCH(Rebate_Lookup[[#This Row],[SKU CODE]],PRICING[SKU],0))</f>
        <v>1 gal</v>
      </c>
      <c r="F40" s="47">
        <f>COUNTIFS(PRICING[SKU],B40)</f>
        <v>2</v>
      </c>
      <c r="G40" s="38">
        <v>1</v>
      </c>
      <c r="H40" s="34">
        <v>16</v>
      </c>
      <c r="I40" s="39"/>
      <c r="J40" s="54">
        <f>SUMIFS(PRICING[Rebate $],PRICING[SKU],Rebate_Lookup[[#This Row],[SKU CODE]],PRICING[Set],1)</f>
        <v>0</v>
      </c>
      <c r="K40" s="55">
        <f>SUMIFS(PRICING[Rebate $],PRICING[SKU],Rebate_Lookup[[#This Row],[SKU CODE]],PRICING[Set],2)</f>
        <v>145</v>
      </c>
      <c r="L40" s="56">
        <f>SUMIFS(PRICING[Rebate $],PRICING[SKU],Rebate_Lookup[[#This Row],[SKU CODE]],PRICING[Set],3)</f>
        <v>0</v>
      </c>
      <c r="M40" s="59">
        <f>SUMIF('2025 LL-CALCULATOR - UNITS'!A:A,Rebate_Lookup[[#This Row],[SKU CODE]],'2025 LL-CALCULATOR - UNITS'!J:J)</f>
        <v>0</v>
      </c>
      <c r="N40"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40" s="59">
        <f>COUNTIF('2025 LL-CALCULATOR - UNITS'!A:A,Rebate_Lookup[[#This Row],[SKU CODE]])</f>
        <v>0</v>
      </c>
      <c r="P40" t="b">
        <f>Rebate_Lookup[[#This Row],[Order Form Quantity]]&gt;=16</f>
        <v>0</v>
      </c>
    </row>
    <row r="41" spans="2:16">
      <c r="B41" s="46" t="s">
        <v>137</v>
      </c>
      <c r="C41" s="32" t="str">
        <f>INDEX(PRICING[Agency/TT],MATCH(Rebate_Lookup[[#This Row],[SKU CODE]],PRICING[SKU],0))</f>
        <v>A</v>
      </c>
      <c r="D41" s="33" t="str">
        <f>INDEX(PRICING[Product],MATCH(B41,PRICING[SKU],0))</f>
        <v>Marengo FLO</v>
      </c>
      <c r="E41" s="33" t="str">
        <f>INDEX(PRICING[Size],MATCH(Rebate_Lookup[[#This Row],[SKU CODE]],PRICING[SKU],0))</f>
        <v>64 oz</v>
      </c>
      <c r="F41" s="47">
        <f>COUNTIFS(PRICING[SKU],B41)</f>
        <v>3</v>
      </c>
      <c r="G41" s="38">
        <v>1</v>
      </c>
      <c r="H41" s="34">
        <v>4</v>
      </c>
      <c r="I41" s="39">
        <v>16</v>
      </c>
      <c r="J41" s="54">
        <f>SUMIFS(PRICING[Rebate $],PRICING[SKU],Rebate_Lookup[[#This Row],[SKU CODE]],PRICING[Set],1)</f>
        <v>0</v>
      </c>
      <c r="K41" s="55">
        <f>SUMIFS(PRICING[Rebate $],PRICING[SKU],Rebate_Lookup[[#This Row],[SKU CODE]],PRICING[Set],2)</f>
        <v>0</v>
      </c>
      <c r="L41" s="56">
        <f>SUMIFS(PRICING[Rebate $],PRICING[SKU],Rebate_Lookup[[#This Row],[SKU CODE]],PRICING[Set],3)</f>
        <v>0</v>
      </c>
      <c r="M41" s="59">
        <f>SUMIF('2025 LL-CALCULATOR - UNITS'!A:A,Rebate_Lookup[[#This Row],[SKU CODE]],'2025 LL-CALCULATOR - UNITS'!J:J)</f>
        <v>0</v>
      </c>
      <c r="N41"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41" s="59">
        <f>COUNTIF('2025 LL-CALCULATOR - UNITS'!A:A,Rebate_Lookup[[#This Row],[SKU CODE]])</f>
        <v>0</v>
      </c>
      <c r="P41">
        <v>0</v>
      </c>
    </row>
    <row r="42" spans="2:16">
      <c r="B42" s="46" t="s">
        <v>138</v>
      </c>
      <c r="C42" s="32" t="str">
        <f>INDEX(PRICING[Agency/TT],MATCH(Rebate_Lookup[[#This Row],[SKU CODE]],PRICING[SKU],0))</f>
        <v>A</v>
      </c>
      <c r="D42" s="33" t="str">
        <f>INDEX(PRICING[Product],MATCH(B42,PRICING[SKU],0))</f>
        <v>Marengo G</v>
      </c>
      <c r="E42" s="33" t="str">
        <f>INDEX(PRICING[Size],MATCH(Rebate_Lookup[[#This Row],[SKU CODE]],PRICING[SKU],0))</f>
        <v>50 lb</v>
      </c>
      <c r="F42" s="47">
        <f>COUNTIFS(PRICING[SKU],B42)</f>
        <v>3</v>
      </c>
      <c r="G42" s="38">
        <v>1</v>
      </c>
      <c r="H42" s="34">
        <v>40</v>
      </c>
      <c r="I42" s="39">
        <v>120</v>
      </c>
      <c r="J42" s="54">
        <f>SUMIFS(PRICING[Rebate $],PRICING[SKU],Rebate_Lookup[[#This Row],[SKU CODE]],PRICING[Set],1)</f>
        <v>0</v>
      </c>
      <c r="K42" s="55">
        <f>SUMIFS(PRICING[Rebate $],PRICING[SKU],Rebate_Lookup[[#This Row],[SKU CODE]],PRICING[Set],2)</f>
        <v>0</v>
      </c>
      <c r="L42" s="56">
        <f>SUMIFS(PRICING[Rebate $],PRICING[SKU],Rebate_Lookup[[#This Row],[SKU CODE]],PRICING[Set],3)</f>
        <v>0</v>
      </c>
      <c r="M42" s="59">
        <f>SUMIF('2025 LL-CALCULATOR - UNITS'!A:A,Rebate_Lookup[[#This Row],[SKU CODE]],'2025 LL-CALCULATOR - UNITS'!J:J)</f>
        <v>0</v>
      </c>
      <c r="N42"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42" s="59">
        <f>COUNTIF('2025 LL-CALCULATOR - UNITS'!A:A,Rebate_Lookup[[#This Row],[SKU CODE]])</f>
        <v>0</v>
      </c>
      <c r="P42">
        <v>0</v>
      </c>
    </row>
    <row r="43" spans="2:16">
      <c r="B43" s="46">
        <v>86215578</v>
      </c>
      <c r="C43" s="32" t="str">
        <f>INDEX(PRICING[Agency/TT],MATCH(Rebate_Lookup[[#This Row],[SKU CODE]],PRICING[SKU],0))</f>
        <v>TT</v>
      </c>
      <c r="D43" s="33" t="str">
        <f>INDEX(PRICING[Product],MATCH(B43,PRICING[SKU],0))</f>
        <v>Prograss EC</v>
      </c>
      <c r="E43" s="33" t="str">
        <f>INDEX(PRICING[Size],MATCH(Rebate_Lookup[[#This Row],[SKU CODE]],PRICING[SKU],0))</f>
        <v xml:space="preserve">2.5 gal </v>
      </c>
      <c r="F43" s="47">
        <f>COUNTIFS(PRICING[SKU],B43)</f>
        <v>1</v>
      </c>
      <c r="G43" s="38">
        <v>1</v>
      </c>
      <c r="H43" s="34"/>
      <c r="I43" s="39"/>
      <c r="J43" s="54">
        <f>SUMIFS(PRICING[Rebate $],PRICING[SKU],Rebate_Lookup[[#This Row],[SKU CODE]],PRICING[Set],1)</f>
        <v>22</v>
      </c>
      <c r="K43" s="55">
        <f>SUMIFS(PRICING[Rebate $],PRICING[SKU],Rebate_Lookup[[#This Row],[SKU CODE]],PRICING[Set],2)</f>
        <v>0</v>
      </c>
      <c r="L43" s="56">
        <f>SUMIFS(PRICING[Rebate $],PRICING[SKU],Rebate_Lookup[[#This Row],[SKU CODE]],PRICING[Set],3)</f>
        <v>0</v>
      </c>
      <c r="M43" s="59">
        <f>SUMIF('2025 LL-CALCULATOR - UNITS'!A:A,Rebate_Lookup[[#This Row],[SKU CODE]],'2025 LL-CALCULATOR - UNITS'!J:J)</f>
        <v>0</v>
      </c>
      <c r="N43"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43" s="59">
        <f>COUNTIF('2025 LL-CALCULATOR - UNITS'!A:A,Rebate_Lookup[[#This Row],[SKU CODE]])</f>
        <v>0</v>
      </c>
      <c r="P43">
        <v>0</v>
      </c>
    </row>
    <row r="44" spans="2:16">
      <c r="B44" s="46" t="s">
        <v>139</v>
      </c>
      <c r="C44" s="32" t="str">
        <f>INDEX(PRICING[Agency/TT],MATCH(Rebate_Lookup[[#This Row],[SKU CODE]],PRICING[SKU],0))</f>
        <v>TT</v>
      </c>
      <c r="D44" s="33" t="str">
        <f>INDEX(PRICING[Product],MATCH(B44,PRICING[SKU],0))</f>
        <v>Proxy</v>
      </c>
      <c r="E44" s="33" t="str">
        <f>INDEX(PRICING[Size],MATCH(Rebate_Lookup[[#This Row],[SKU CODE]],PRICING[SKU],0))</f>
        <v xml:space="preserve">2.5 gal </v>
      </c>
      <c r="F44" s="47">
        <f>COUNTIFS(PRICING[SKU],B44)</f>
        <v>1</v>
      </c>
      <c r="G44" s="38">
        <v>1</v>
      </c>
      <c r="H44" s="34"/>
      <c r="I44" s="39"/>
      <c r="J44" s="54">
        <f>SUMIFS(PRICING[Rebate $],PRICING[SKU],Rebate_Lookup[[#This Row],[SKU CODE]],PRICING[Set],1)</f>
        <v>0</v>
      </c>
      <c r="K44" s="55">
        <f>SUMIFS(PRICING[Rebate $],PRICING[SKU],Rebate_Lookup[[#This Row],[SKU CODE]],PRICING[Set],2)</f>
        <v>0</v>
      </c>
      <c r="L44" s="56">
        <f>SUMIFS(PRICING[Rebate $],PRICING[SKU],Rebate_Lookup[[#This Row],[SKU CODE]],PRICING[Set],3)</f>
        <v>0</v>
      </c>
      <c r="M44" s="59">
        <f>SUMIF('2025 LL-CALCULATOR - UNITS'!A:A,Rebate_Lookup[[#This Row],[SKU CODE]],'2025 LL-CALCULATOR - UNITS'!J:J)</f>
        <v>0</v>
      </c>
      <c r="N44"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44" s="59">
        <f>COUNTIF('2025 LL-CALCULATOR - UNITS'!A:A,Rebate_Lookup[[#This Row],[SKU CODE]])</f>
        <v>0</v>
      </c>
      <c r="P44">
        <v>0</v>
      </c>
    </row>
    <row r="45" spans="2:16">
      <c r="B45" s="46">
        <v>11008447</v>
      </c>
      <c r="C45" s="32" t="str">
        <f>INDEX(PRICING[Agency/TT],MATCH(Rebate_Lookup[[#This Row],[SKU CODE]],PRICING[SKU],0))</f>
        <v>TT</v>
      </c>
      <c r="D45" s="33" t="str">
        <f>INDEX(PRICING[Product],MATCH(B45,PRICING[SKU],0))</f>
        <v xml:space="preserve">QuickSilver® Herbicide </v>
      </c>
      <c r="E45" s="33" t="str">
        <f>INDEX(PRICING[Size],MATCH(Rebate_Lookup[[#This Row],[SKU CODE]],PRICING[SKU],0))</f>
        <v>8 oz</v>
      </c>
      <c r="F45" s="47">
        <f>COUNTIFS(PRICING[SKU],B45)</f>
        <v>1</v>
      </c>
      <c r="G45" s="38">
        <v>1</v>
      </c>
      <c r="H45" s="34"/>
      <c r="I45" s="39"/>
      <c r="J45" s="54">
        <f>SUMIFS(PRICING[Rebate $],PRICING[SKU],Rebate_Lookup[[#This Row],[SKU CODE]],PRICING[Set],1)</f>
        <v>20</v>
      </c>
      <c r="K45" s="55">
        <f>SUMIFS(PRICING[Rebate $],PRICING[SKU],Rebate_Lookup[[#This Row],[SKU CODE]],PRICING[Set],2)</f>
        <v>0</v>
      </c>
      <c r="L45" s="56">
        <f>SUMIFS(PRICING[Rebate $],PRICING[SKU],Rebate_Lookup[[#This Row],[SKU CODE]],PRICING[Set],3)</f>
        <v>0</v>
      </c>
      <c r="M45" s="59">
        <f>SUMIF('2025 LL-CALCULATOR - UNITS'!A:A,Rebate_Lookup[[#This Row],[SKU CODE]],'2025 LL-CALCULATOR - UNITS'!J:J)</f>
        <v>0</v>
      </c>
      <c r="N45"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45" s="59">
        <f>COUNTIF('2025 LL-CALCULATOR - UNITS'!A:A,Rebate_Lookup[[#This Row],[SKU CODE]])</f>
        <v>0</v>
      </c>
      <c r="P45">
        <v>0</v>
      </c>
    </row>
    <row r="46" spans="2:16">
      <c r="B46" s="46">
        <v>79545312</v>
      </c>
      <c r="C46" s="32" t="str">
        <f>INDEX(PRICING[Agency/TT],MATCH(Rebate_Lookup[[#This Row],[SKU CODE]],PRICING[SKU],0))</f>
        <v>A</v>
      </c>
      <c r="D46" s="33" t="str">
        <f>INDEX(PRICING[Product],MATCH(B46,PRICING[SKU],0))</f>
        <v>Revolver®</v>
      </c>
      <c r="E46" s="33" t="str">
        <f>INDEX(PRICING[Size],MATCH(Rebate_Lookup[[#This Row],[SKU CODE]],PRICING[SKU],0))</f>
        <v>87 fl oz</v>
      </c>
      <c r="F46" s="47">
        <f>COUNTIFS(PRICING[SKU],B46)</f>
        <v>3</v>
      </c>
      <c r="G46" s="38">
        <v>1</v>
      </c>
      <c r="H46" s="34">
        <v>16</v>
      </c>
      <c r="I46" s="39">
        <v>32</v>
      </c>
      <c r="J46" s="54">
        <f>SUMIFS(PRICING[Rebate $],PRICING[SKU],Rebate_Lookup[[#This Row],[SKU CODE]],PRICING[Set],1)</f>
        <v>0</v>
      </c>
      <c r="K46" s="55">
        <f>SUMIFS(PRICING[Rebate $],PRICING[SKU],Rebate_Lookup[[#This Row],[SKU CODE]],PRICING[Set],2)</f>
        <v>50</v>
      </c>
      <c r="L46" s="56">
        <f>SUMIFS(PRICING[Rebate $],PRICING[SKU],Rebate_Lookup[[#This Row],[SKU CODE]],PRICING[Set],3)</f>
        <v>100</v>
      </c>
      <c r="M46" s="59">
        <f>SUMIF('2025 LL-CALCULATOR - UNITS'!A:A,Rebate_Lookup[[#This Row],[SKU CODE]],'2025 LL-CALCULATOR - UNITS'!J:J)</f>
        <v>0</v>
      </c>
      <c r="N46"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46" s="59">
        <f>COUNTIF('2025 LL-CALCULATOR - UNITS'!A:A,Rebate_Lookup[[#This Row],[SKU CODE]])</f>
        <v>1</v>
      </c>
      <c r="P46" t="b">
        <f>Rebate_Lookup[[#This Row],[Order Form Quantity]]&gt;=16</f>
        <v>0</v>
      </c>
    </row>
    <row r="47" spans="2:16">
      <c r="B47" s="46">
        <v>79850980</v>
      </c>
      <c r="C47" s="32" t="str">
        <f>INDEX(PRICING[Agency/TT],MATCH(Rebate_Lookup[[#This Row],[SKU CODE]],PRICING[SKU],0))</f>
        <v>TT</v>
      </c>
      <c r="D47" s="33" t="str">
        <f>INDEX(PRICING[Product],MATCH(B47,PRICING[SKU],0))</f>
        <v>Revolver®</v>
      </c>
      <c r="E47" s="33" t="str">
        <f>INDEX(PRICING[Size],MATCH(Rebate_Lookup[[#This Row],[SKU CODE]],PRICING[SKU],0))</f>
        <v>32 fl oz</v>
      </c>
      <c r="F47" s="47">
        <f>COUNTIFS(PRICING[SKU],B47)</f>
        <v>1</v>
      </c>
      <c r="G47" s="38">
        <v>1</v>
      </c>
      <c r="H47" s="34"/>
      <c r="I47" s="39"/>
      <c r="J47" s="54">
        <f>SUMIFS(PRICING[Rebate $],PRICING[SKU],Rebate_Lookup[[#This Row],[SKU CODE]],PRICING[Set],1)</f>
        <v>21</v>
      </c>
      <c r="K47" s="55">
        <f>SUMIFS(PRICING[Rebate $],PRICING[SKU],Rebate_Lookup[[#This Row],[SKU CODE]],PRICING[Set],2)</f>
        <v>0</v>
      </c>
      <c r="L47" s="56">
        <f>SUMIFS(PRICING[Rebate $],PRICING[SKU],Rebate_Lookup[[#This Row],[SKU CODE]],PRICING[Set],3)</f>
        <v>0</v>
      </c>
      <c r="M47" s="59">
        <f>SUMIF('2025 LL-CALCULATOR - UNITS'!A:A,Rebate_Lookup[[#This Row],[SKU CODE]],'2025 LL-CALCULATOR - UNITS'!J:J)</f>
        <v>0</v>
      </c>
      <c r="N47"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47" s="59">
        <f>COUNTIF('2025 LL-CALCULATOR - UNITS'!A:A,Rebate_Lookup[[#This Row],[SKU CODE]])</f>
        <v>0</v>
      </c>
      <c r="P47">
        <v>0</v>
      </c>
    </row>
    <row r="48" spans="2:16">
      <c r="B48" s="46" t="s">
        <v>140</v>
      </c>
      <c r="C48" s="155" t="str">
        <f>INDEX(PRICING[Agency/TT],MATCH(Rebate_Lookup[[#This Row],[SKU CODE]],PRICING[SKU],0))</f>
        <v>A</v>
      </c>
      <c r="D48" s="141" t="str">
        <f>INDEX(PRICING[Product],MATCH(B48,PRICING[SKU],0))</f>
        <v xml:space="preserve">Ronstar® FLO </v>
      </c>
      <c r="E48" s="141" t="str">
        <f>INDEX(PRICING[Size],MATCH(Rebate_Lookup[[#This Row],[SKU CODE]],PRICING[SKU],0))</f>
        <v>2.5 gal</v>
      </c>
      <c r="F48" s="140">
        <f>COUNTIFS(PRICING[SKU],B48)</f>
        <v>3</v>
      </c>
      <c r="G48" s="38" t="s">
        <v>141</v>
      </c>
      <c r="H48" s="151"/>
      <c r="I48" s="39"/>
      <c r="J48" s="54">
        <f>SUMIFS(PRICING[Rebate $],PRICING[SKU],Rebate_Lookup[[#This Row],[SKU CODE]],PRICING[Set],1)</f>
        <v>0</v>
      </c>
      <c r="K48" s="152">
        <f>SUMIFS(PRICING[Rebate $],PRICING[SKU],Rebate_Lookup[[#This Row],[SKU CODE]],PRICING[Set],2)</f>
        <v>0</v>
      </c>
      <c r="L48" s="152">
        <f>SUMIFS(PRICING[Rebate $],PRICING[SKU],Rebate_Lookup[[#This Row],[SKU CODE]],PRICING[Set],3)</f>
        <v>0</v>
      </c>
      <c r="M48" s="59">
        <f>SUMIF('2025 LL-CALCULATOR - UNITS'!A:A,Rebate_Lookup[[#This Row],[SKU CODE]],'2025 LL-CALCULATOR - UNITS'!J:J)</f>
        <v>0</v>
      </c>
      <c r="N48"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3</v>
      </c>
      <c r="O48" s="59">
        <f>COUNTIF('2025 LL-CALCULATOR - UNITS'!A:A,Rebate_Lookup[[#This Row],[SKU CODE]])</f>
        <v>0</v>
      </c>
      <c r="P48" t="b">
        <f>Rebate_Lookup[[#This Row],[Order Form Quantity]]&gt;=12</f>
        <v>0</v>
      </c>
    </row>
    <row r="49" spans="2:16">
      <c r="B49" s="46">
        <v>427709</v>
      </c>
      <c r="C49" s="30" t="str">
        <f>INDEX(PRICING[Agency/TT],MATCH(Rebate_Lookup[[#This Row],[SKU CODE]],PRICING[SKU],0))</f>
        <v>TT</v>
      </c>
      <c r="D49" t="str">
        <f>INDEX(PRICING[Product],MATCH(B49,PRICING[SKU],0))</f>
        <v>Sencor 75</v>
      </c>
      <c r="E49" t="str">
        <f>INDEX(PRICING[Size],MATCH(Rebate_Lookup[[#This Row],[SKU CODE]],PRICING[SKU],0))</f>
        <v>5 lb</v>
      </c>
      <c r="F49" s="47">
        <f>COUNTIFS(PRICING[SKU],B49)</f>
        <v>1</v>
      </c>
      <c r="G49" s="38">
        <v>1</v>
      </c>
      <c r="H49" s="151"/>
      <c r="I49" s="39"/>
      <c r="J49" s="54">
        <f>SUMIFS(PRICING[Rebate $],PRICING[SKU],Rebate_Lookup[[#This Row],[SKU CODE]],PRICING[Set],1)</f>
        <v>0</v>
      </c>
      <c r="K49" s="152">
        <f>SUMIFS(PRICING[Rebate $],PRICING[SKU],Rebate_Lookup[[#This Row],[SKU CODE]],PRICING[Set],2)</f>
        <v>0</v>
      </c>
      <c r="L49" s="152">
        <f>SUMIFS(PRICING[Rebate $],PRICING[SKU],Rebate_Lookup[[#This Row],[SKU CODE]],PRICING[Set],3)</f>
        <v>0</v>
      </c>
      <c r="M49" s="59">
        <f>SUMIF('2025 LL-CALCULATOR - UNITS'!A:A,Rebate_Lookup[[#This Row],[SKU CODE]],'2025 LL-CALCULATOR - UNITS'!J:J)</f>
        <v>0</v>
      </c>
      <c r="N49"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49" s="59">
        <f>COUNTIF('2025 LL-CALCULATOR - UNITS'!A:A,Rebate_Lookup[[#This Row],[SKU CODE]])</f>
        <v>0</v>
      </c>
      <c r="P49">
        <v>0</v>
      </c>
    </row>
    <row r="50" spans="2:16">
      <c r="B50" s="46">
        <v>11008522</v>
      </c>
      <c r="C50" s="30" t="str">
        <f>INDEX(PRICING[Agency/TT],MATCH(Rebate_Lookup[[#This Row],[SKU CODE]],PRICING[SKU],0))</f>
        <v>A</v>
      </c>
      <c r="D50" t="str">
        <f>INDEX(PRICING[Product],MATCH(B50,PRICING[SKU],0))</f>
        <v xml:space="preserve">Solitare® Herbicide </v>
      </c>
      <c r="E50" t="str">
        <f>INDEX(PRICING[Size],MATCH(Rebate_Lookup[[#This Row],[SKU CODE]],PRICING[SKU],0))</f>
        <v>4 lb</v>
      </c>
      <c r="F50" s="47">
        <f>COUNTIFS(PRICING[SKU],B50)</f>
        <v>3</v>
      </c>
      <c r="G50" s="38">
        <v>1</v>
      </c>
      <c r="H50" s="151">
        <v>16</v>
      </c>
      <c r="I50" s="39">
        <v>32</v>
      </c>
      <c r="J50" s="54">
        <f>SUMIFS(PRICING[Rebate $],PRICING[SKU],Rebate_Lookup[[#This Row],[SKU CODE]],PRICING[Set],1)</f>
        <v>0</v>
      </c>
      <c r="K50" s="152">
        <f>SUMIFS(PRICING[Rebate $],PRICING[SKU],Rebate_Lookup[[#This Row],[SKU CODE]],PRICING[Set],2)</f>
        <v>40</v>
      </c>
      <c r="L50" s="152">
        <f>SUMIFS(PRICING[Rebate $],PRICING[SKU],Rebate_Lookup[[#This Row],[SKU CODE]],PRICING[Set],3)</f>
        <v>85</v>
      </c>
      <c r="M50" s="59">
        <f>SUMIF('2025 LL-CALCULATOR - UNITS'!A:A,Rebate_Lookup[[#This Row],[SKU CODE]],'2025 LL-CALCULATOR - UNITS'!J:J)</f>
        <v>0</v>
      </c>
      <c r="N50"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50" s="59">
        <f>COUNTIF('2025 LL-CALCULATOR - UNITS'!A:A,Rebate_Lookup[[#This Row],[SKU CODE]])</f>
        <v>0</v>
      </c>
      <c r="P50" t="b">
        <f>Rebate_Lookup[[#This Row],[Order Form Quantity]]&gt;=16</f>
        <v>0</v>
      </c>
    </row>
    <row r="51" spans="2:16">
      <c r="B51" s="46">
        <v>11008482</v>
      </c>
      <c r="C51" s="30" t="str">
        <f>INDEX(PRICING[Agency/TT],MATCH(Rebate_Lookup[[#This Row],[SKU CODE]],PRICING[SKU],0))</f>
        <v>TT</v>
      </c>
      <c r="D51" t="str">
        <f>INDEX(PRICING[Product],MATCH(B51,PRICING[SKU],0))</f>
        <v xml:space="preserve">Solitare® Herbicide </v>
      </c>
      <c r="E51" t="str">
        <f>INDEX(PRICING[Size],MATCH(Rebate_Lookup[[#This Row],[SKU CODE]],PRICING[SKU],0))</f>
        <v xml:space="preserve">1 lb </v>
      </c>
      <c r="F51" s="47">
        <f>COUNTIFS(PRICING[SKU],B51)</f>
        <v>1</v>
      </c>
      <c r="G51" s="38">
        <v>1</v>
      </c>
      <c r="H51" s="151"/>
      <c r="I51" s="39"/>
      <c r="J51" s="54">
        <f>SUMIFS(PRICING[Rebate $],PRICING[SKU],Rebate_Lookup[[#This Row],[SKU CODE]],PRICING[Set],1)</f>
        <v>15</v>
      </c>
      <c r="K51" s="152">
        <f>SUMIFS(PRICING[Rebate $],PRICING[SKU],Rebate_Lookup[[#This Row],[SKU CODE]],PRICING[Set],2)</f>
        <v>0</v>
      </c>
      <c r="L51" s="152">
        <f>SUMIFS(PRICING[Rebate $],PRICING[SKU],Rebate_Lookup[[#This Row],[SKU CODE]],PRICING[Set],3)</f>
        <v>0</v>
      </c>
      <c r="M51" s="59">
        <f>SUMIF('2025 LL-CALCULATOR - UNITS'!A:A,Rebate_Lookup[[#This Row],[SKU CODE]],'2025 LL-CALCULATOR - UNITS'!J:J)</f>
        <v>0</v>
      </c>
      <c r="N51"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51" s="59">
        <f>COUNTIF('2025 LL-CALCULATOR - UNITS'!A:A,Rebate_Lookup[[#This Row],[SKU CODE]])</f>
        <v>0</v>
      </c>
      <c r="P51">
        <v>0</v>
      </c>
    </row>
    <row r="52" spans="2:16">
      <c r="B52" s="46">
        <v>11013862</v>
      </c>
      <c r="C52" s="30" t="str">
        <f>INDEX(PRICING[Agency/TT],MATCH(Rebate_Lookup[[#This Row],[SKU CODE]],PRICING[SKU],0))</f>
        <v>A</v>
      </c>
      <c r="D52" t="str">
        <f>INDEX(PRICING[Product],MATCH(B52,PRICING[SKU],0))</f>
        <v>Solitare® WSL Herbicide</v>
      </c>
      <c r="E52" t="str">
        <f>INDEX(PRICING[Size],MATCH(Rebate_Lookup[[#This Row],[SKU CODE]],PRICING[SKU],0))</f>
        <v>2.5 gal</v>
      </c>
      <c r="F52" s="47">
        <f>COUNTIFS(PRICING[SKU],B52)</f>
        <v>3</v>
      </c>
      <c r="G52" s="38">
        <v>1</v>
      </c>
      <c r="H52" s="151">
        <v>24</v>
      </c>
      <c r="I52" s="39">
        <v>48</v>
      </c>
      <c r="J52" s="54">
        <f>SUMIFS(PRICING[Rebate $],PRICING[SKU],Rebate_Lookup[[#This Row],[SKU CODE]],PRICING[Set],1)</f>
        <v>0</v>
      </c>
      <c r="K52" s="152">
        <f>SUMIFS(PRICING[Rebate $],PRICING[SKU],Rebate_Lookup[[#This Row],[SKU CODE]],PRICING[Set],2)</f>
        <v>40</v>
      </c>
      <c r="L52" s="152">
        <f>SUMIFS(PRICING[Rebate $],PRICING[SKU],Rebate_Lookup[[#This Row],[SKU CODE]],PRICING[Set],3)</f>
        <v>85</v>
      </c>
      <c r="M52" s="59">
        <f>SUMIF('2025 LL-CALCULATOR - UNITS'!A:A,Rebate_Lookup[[#This Row],[SKU CODE]],'2025 LL-CALCULATOR - UNITS'!J:J)</f>
        <v>0</v>
      </c>
      <c r="N52"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52" s="59">
        <f>COUNTIF('2025 LL-CALCULATOR - UNITS'!A:A,Rebate_Lookup[[#This Row],[SKU CODE]])</f>
        <v>1</v>
      </c>
      <c r="P52" t="b">
        <f>Rebate_Lookup[[#This Row],[Order Form Quantity]]&gt;=7</f>
        <v>0</v>
      </c>
    </row>
    <row r="53" spans="2:16">
      <c r="B53" s="46">
        <v>11008369</v>
      </c>
      <c r="C53" s="30" t="str">
        <f>INDEX(PRICING[Agency/TT],MATCH(Rebate_Lookup[[#This Row],[SKU CODE]],PRICING[SKU],0))</f>
        <v>TT</v>
      </c>
      <c r="D53" t="str">
        <f>INDEX(PRICING[Product],MATCH(B53,PRICING[SKU],0))</f>
        <v>Solitare® WSL Herbicide</v>
      </c>
      <c r="E53" t="str">
        <f>INDEX(PRICING[Size],MATCH(Rebate_Lookup[[#This Row],[SKU CODE]],PRICING[SKU],0))</f>
        <v xml:space="preserve">0.75 gal </v>
      </c>
      <c r="F53" s="47">
        <f>COUNTIFS(PRICING[SKU],B53)</f>
        <v>1</v>
      </c>
      <c r="G53" s="38">
        <v>1</v>
      </c>
      <c r="H53" s="151"/>
      <c r="I53" s="39"/>
      <c r="J53" s="54">
        <f>SUMIFS(PRICING[Rebate $],PRICING[SKU],Rebate_Lookup[[#This Row],[SKU CODE]],PRICING[Set],1)</f>
        <v>12</v>
      </c>
      <c r="K53" s="152">
        <f>SUMIFS(PRICING[Rebate $],PRICING[SKU],Rebate_Lookup[[#This Row],[SKU CODE]],PRICING[Set],2)</f>
        <v>0</v>
      </c>
      <c r="L53" s="152">
        <f>SUMIFS(PRICING[Rebate $],PRICING[SKU],Rebate_Lookup[[#This Row],[SKU CODE]],PRICING[Set],3)</f>
        <v>0</v>
      </c>
      <c r="M53" s="59">
        <f>SUMIF('2025 LL-CALCULATOR - UNITS'!A:A,Rebate_Lookup[[#This Row],[SKU CODE]],'2025 LL-CALCULATOR - UNITS'!J:J)</f>
        <v>0</v>
      </c>
      <c r="N53"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53" s="59">
        <f>COUNTIF('2025 LL-CALCULATOR - UNITS'!A:A,Rebate_Lookup[[#This Row],[SKU CODE]])</f>
        <v>0</v>
      </c>
      <c r="P53">
        <v>0</v>
      </c>
    </row>
    <row r="54" spans="2:16">
      <c r="B54" s="46" t="s">
        <v>63</v>
      </c>
      <c r="C54" s="155" t="str">
        <f>INDEX(PRICING[Agency/TT],MATCH(Rebate_Lookup[[#This Row],[SKU CODE]],PRICING[SKU],0))</f>
        <v>A</v>
      </c>
      <c r="D54" s="141" t="str">
        <f>INDEX(PRICING[Product],MATCH(B54,PRICING[SKU],0))</f>
        <v xml:space="preserve">Specticle® FLO </v>
      </c>
      <c r="E54" s="141" t="str">
        <f>INDEX(PRICING[Size],MATCH(Rebate_Lookup[[#This Row],[SKU CODE]],PRICING[SKU],0))</f>
        <v>1 gal</v>
      </c>
      <c r="F54" s="140">
        <f>COUNTIFS(PRICING[SKU],B54)</f>
        <v>6</v>
      </c>
      <c r="G54" s="38" t="s">
        <v>141</v>
      </c>
      <c r="H54" s="151"/>
      <c r="I54" s="39"/>
      <c r="J54" s="54">
        <f>SUMIFS(PRICING[Rebate $],PRICING[SKU],Rebate_Lookup[[#This Row],[SKU CODE]],PRICING[Set],1)</f>
        <v>0</v>
      </c>
      <c r="K54" s="152">
        <f>SUMIFS(PRICING[Rebate $],PRICING[SKU],Rebate_Lookup[[#This Row],[SKU CODE]],PRICING[Set],2)</f>
        <v>38</v>
      </c>
      <c r="L54" s="152">
        <f>SUMIFS(PRICING[Rebate $],PRICING[SKU],Rebate_Lookup[[#This Row],[SKU CODE]],PRICING[Set],3)</f>
        <v>32</v>
      </c>
      <c r="M54" s="59">
        <f>SUMIF('2025 LL-CALCULATOR - UNITS'!A:A,Rebate_Lookup[[#This Row],[SKU CODE]],'2025 LL-CALCULATOR - UNITS'!J:J)</f>
        <v>0</v>
      </c>
      <c r="N54"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Row],[MOQ_3]]),3,0))))))</f>
        <v>0</v>
      </c>
      <c r="O54" s="59">
        <f>COUNTIF('2025 LL-CALCULATOR - UNITS'!A:A,Rebate_Lookup[[#This Row],[SKU CODE]])</f>
        <v>6</v>
      </c>
      <c r="P54" t="b">
        <f>Rebate_Lookup[[#This Row],[Order Form Quantity]]&gt;=7</f>
        <v>0</v>
      </c>
    </row>
    <row r="55" spans="2:16">
      <c r="B55" s="46" t="s">
        <v>77</v>
      </c>
      <c r="C55" s="30" t="str">
        <f>INDEX(PRICING[Agency/TT],MATCH(Rebate_Lookup[[#This Row],[SKU CODE]],PRICING[SKU],0))</f>
        <v>A</v>
      </c>
      <c r="D55" t="str">
        <f>INDEX(PRICING[Product],MATCH(B55,PRICING[SKU],0))</f>
        <v>Specticle® G</v>
      </c>
      <c r="E55" t="str">
        <f>INDEX(PRICING[Size],MATCH(Rebate_Lookup[[#This Row],[SKU CODE]],PRICING[SKU],0))</f>
        <v>50 lb</v>
      </c>
      <c r="F55" s="47">
        <f>COUNTIFS(PRICING[SKU],B55)</f>
        <v>3</v>
      </c>
      <c r="G55" s="38">
        <v>1</v>
      </c>
      <c r="H55" s="151">
        <v>20</v>
      </c>
      <c r="I55" s="39">
        <v>200</v>
      </c>
      <c r="J55" s="54">
        <f>SUMIFS(PRICING[Rebate $],PRICING[SKU],Rebate_Lookup[[#This Row],[SKU CODE]],PRICING[Set],1)</f>
        <v>0</v>
      </c>
      <c r="K55" s="156">
        <v>8</v>
      </c>
      <c r="L55" s="156">
        <v>18</v>
      </c>
      <c r="M55" s="59">
        <f>SUMIF('2025 LL-CALCULATOR - UNITS'!A:A,Rebate_Lookup[[#This Row],[SKU CODE]],'2025 LL-CALCULATOR - UNITS'!J:J)</f>
        <v>0</v>
      </c>
      <c r="N55"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55" s="59">
        <f>COUNTIF('2025 LL-CALCULATOR - UNITS'!A:A,Rebate_Lookup[[#This Row],[SKU CODE]])</f>
        <v>1</v>
      </c>
      <c r="P55" t="b">
        <f>Rebate_Lookup[[#This Row],[Order Form Quantity]]&gt;=20</f>
        <v>0</v>
      </c>
    </row>
    <row r="56" spans="2:16">
      <c r="B56" s="46" t="s">
        <v>142</v>
      </c>
      <c r="C56" s="30" t="str">
        <f>INDEX(PRICING[Agency/TT],MATCH(Rebate_Lookup[[#This Row],[SKU CODE]],PRICING[SKU],0))</f>
        <v>TT</v>
      </c>
      <c r="D56" t="str">
        <f>INDEX(PRICING[Product],MATCH(B56,PRICING[SKU],0))</f>
        <v>Terradex C&amp;B</v>
      </c>
      <c r="E56" t="str">
        <f>INDEX(PRICING[Size],MATCH(Rebate_Lookup[[#This Row],[SKU CODE]],PRICING[SKU],0))</f>
        <v xml:space="preserve">1 gal </v>
      </c>
      <c r="F56" s="47">
        <f>COUNTIFS(PRICING[SKU],B56)</f>
        <v>1</v>
      </c>
      <c r="G56" s="38">
        <v>1</v>
      </c>
      <c r="H56" s="151"/>
      <c r="I56" s="39"/>
      <c r="J56" s="157">
        <v>15</v>
      </c>
      <c r="K56" s="152">
        <f>SUMIFS(PRICING[Rebate $],PRICING[SKU],Rebate_Lookup[[#This Row],[SKU CODE]],PRICING[Set],2)</f>
        <v>0</v>
      </c>
      <c r="L56" s="152">
        <f>SUMIFS(PRICING[Rebate $],PRICING[SKU],Rebate_Lookup[[#This Row],[SKU CODE]],PRICING[Set],3)</f>
        <v>0</v>
      </c>
      <c r="M56" s="59">
        <f>SUMIF('2025 LL-CALCULATOR - UNITS'!A:A,Rebate_Lookup[[#This Row],[SKU CODE]],'2025 LL-CALCULATOR - UNITS'!J:J)</f>
        <v>0</v>
      </c>
      <c r="N56"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56" s="59">
        <f>COUNTIF('2025 LL-CALCULATOR - UNITS'!A:A,Rebate_Lookup[[#This Row],[SKU CODE]])</f>
        <v>0</v>
      </c>
      <c r="P56">
        <v>0</v>
      </c>
    </row>
    <row r="57" spans="2:16">
      <c r="B57" s="46" t="s">
        <v>143</v>
      </c>
      <c r="C57" s="30" t="str">
        <f>INDEX(PRICING[Agency/TT],MATCH(Rebate_Lookup[[#This Row],[SKU CODE]],PRICING[SKU],0))</f>
        <v>TT</v>
      </c>
      <c r="D57" t="str">
        <f>INDEX(PRICING[Product],MATCH(B57,PRICING[SKU],0))</f>
        <v>Terradex C&amp;B</v>
      </c>
      <c r="E57" t="str">
        <f>INDEX(PRICING[Size],MATCH(Rebate_Lookup[[#This Row],[SKU CODE]],PRICING[SKU],0))</f>
        <v xml:space="preserve">2.5 gal </v>
      </c>
      <c r="F57" s="47">
        <f>COUNTIFS(PRICING[SKU],B57)</f>
        <v>1</v>
      </c>
      <c r="G57" s="38">
        <v>1</v>
      </c>
      <c r="H57" s="151"/>
      <c r="I57" s="39"/>
      <c r="J57" s="157">
        <v>37.5</v>
      </c>
      <c r="K57" s="152">
        <f>SUMIFS(PRICING[Rebate $],PRICING[SKU],Rebate_Lookup[[#This Row],[SKU CODE]],PRICING[Set],2)</f>
        <v>0</v>
      </c>
      <c r="L57" s="152">
        <f>SUMIFS(PRICING[Rebate $],PRICING[SKU],Rebate_Lookup[[#This Row],[SKU CODE]],PRICING[Set],3)</f>
        <v>0</v>
      </c>
      <c r="M57" s="59">
        <f>SUMIF('2025 LL-CALCULATOR - UNITS'!A:A,Rebate_Lookup[[#This Row],[SKU CODE]],'2025 LL-CALCULATOR - UNITS'!J:J)</f>
        <v>0</v>
      </c>
      <c r="N57"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57" s="59">
        <f>COUNTIF('2025 LL-CALCULATOR - UNITS'!A:A,Rebate_Lookup[[#This Row],[SKU CODE]])</f>
        <v>0</v>
      </c>
      <c r="P57">
        <v>0</v>
      </c>
    </row>
    <row r="58" spans="2:16">
      <c r="B58" s="46" t="s">
        <v>144</v>
      </c>
      <c r="C58" s="30" t="str">
        <f>INDEX(PRICING[Agency/TT],MATCH(Rebate_Lookup[[#This Row],[SKU CODE]],PRICING[SKU],0))</f>
        <v>TT</v>
      </c>
      <c r="D58" t="str">
        <f>INDEX(PRICING[Product],MATCH(B58,PRICING[SKU],0))</f>
        <v>Terradex Power Premix</v>
      </c>
      <c r="E58" t="str">
        <f>INDEX(PRICING[Size],MATCH(Rebate_Lookup[[#This Row],[SKU CODE]],PRICING[SKU],0))</f>
        <v xml:space="preserve">2.5 gal </v>
      </c>
      <c r="F58" s="47">
        <f>COUNTIFS(PRICING[SKU],B58)</f>
        <v>1</v>
      </c>
      <c r="G58" s="38">
        <v>1</v>
      </c>
      <c r="H58" s="151"/>
      <c r="I58" s="39"/>
      <c r="J58" s="157">
        <v>37.5</v>
      </c>
      <c r="K58" s="152">
        <f>SUMIFS(PRICING[Rebate $],PRICING[SKU],Rebate_Lookup[[#This Row],[SKU CODE]],PRICING[Set],2)</f>
        <v>0</v>
      </c>
      <c r="L58" s="152">
        <f>SUMIFS(PRICING[Rebate $],PRICING[SKU],Rebate_Lookup[[#This Row],[SKU CODE]],PRICING[Set],3)</f>
        <v>0</v>
      </c>
      <c r="M58" s="59">
        <f>SUMIF('2025 LL-CALCULATOR - UNITS'!A:A,Rebate_Lookup[[#This Row],[SKU CODE]],'2025 LL-CALCULATOR - UNITS'!J:J)</f>
        <v>0</v>
      </c>
      <c r="N58"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58" s="59">
        <f>COUNTIF('2025 LL-CALCULATOR - UNITS'!A:A,Rebate_Lookup[[#This Row],[SKU CODE]])</f>
        <v>0</v>
      </c>
      <c r="P58">
        <v>0</v>
      </c>
    </row>
    <row r="59" spans="2:16">
      <c r="B59" s="46" t="s">
        <v>145</v>
      </c>
      <c r="C59" s="30" t="str">
        <f>INDEX(PRICING[Agency/TT],MATCH(Rebate_Lookup[[#This Row],[SKU CODE]],PRICING[SKU],0))</f>
        <v>TT</v>
      </c>
      <c r="D59" t="str">
        <f>INDEX(PRICING[Product],MATCH(B59,PRICING[SKU],0))</f>
        <v>Terradex Power Premix</v>
      </c>
      <c r="E59" t="str">
        <f>INDEX(PRICING[Size],MATCH(Rebate_Lookup[[#This Row],[SKU CODE]],PRICING[SKU],0))</f>
        <v>30 gal</v>
      </c>
      <c r="F59" s="47">
        <f>COUNTIFS(PRICING[SKU],B59)</f>
        <v>1</v>
      </c>
      <c r="G59" s="38">
        <v>1</v>
      </c>
      <c r="H59" s="151"/>
      <c r="I59" s="39"/>
      <c r="J59" s="157">
        <v>450</v>
      </c>
      <c r="K59" s="152">
        <f>SUMIFS(PRICING[Rebate $],PRICING[SKU],Rebate_Lookup[[#This Row],[SKU CODE]],PRICING[Set],2)</f>
        <v>0</v>
      </c>
      <c r="L59" s="152">
        <f>SUMIFS(PRICING[Rebate $],PRICING[SKU],Rebate_Lookup[[#This Row],[SKU CODE]],PRICING[Set],3)</f>
        <v>0</v>
      </c>
      <c r="M59" s="59">
        <f>SUMIF('2025 LL-CALCULATOR - UNITS'!A:A,Rebate_Lookup[[#This Row],[SKU CODE]],'2025 LL-CALCULATOR - UNITS'!J:J)</f>
        <v>0</v>
      </c>
      <c r="N59"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59" s="59">
        <f>COUNTIF('2025 LL-CALCULATOR - UNITS'!A:A,Rebate_Lookup[[#This Row],[SKU CODE]])</f>
        <v>0</v>
      </c>
      <c r="P59">
        <v>0</v>
      </c>
    </row>
    <row r="60" spans="2:16">
      <c r="B60" s="46" t="s">
        <v>146</v>
      </c>
      <c r="C60" s="30" t="str">
        <f>INDEX(PRICING[Agency/TT],MATCH(Rebate_Lookup[[#This Row],[SKU CODE]],PRICING[SKU],0))</f>
        <v>TT</v>
      </c>
      <c r="D60" t="str">
        <f>INDEX(PRICING[Product],MATCH(B60,PRICING[SKU],0))</f>
        <v>Terradex Quick Strike</v>
      </c>
      <c r="E60" t="str">
        <f>INDEX(PRICING[Size],MATCH(Rebate_Lookup[[#This Row],[SKU CODE]],PRICING[SKU],0))</f>
        <v xml:space="preserve">1 gal </v>
      </c>
      <c r="F60" s="47">
        <f>COUNTIFS(PRICING[SKU],B60)</f>
        <v>1</v>
      </c>
      <c r="G60" s="38">
        <v>1</v>
      </c>
      <c r="H60" s="151"/>
      <c r="I60" s="39"/>
      <c r="J60" s="157">
        <v>15</v>
      </c>
      <c r="K60" s="152">
        <f>SUMIFS(PRICING[Rebate $],PRICING[SKU],Rebate_Lookup[[#This Row],[SKU CODE]],PRICING[Set],2)</f>
        <v>0</v>
      </c>
      <c r="L60" s="152">
        <f>SUMIFS(PRICING[Rebate $],PRICING[SKU],Rebate_Lookup[[#This Row],[SKU CODE]],PRICING[Set],3)</f>
        <v>0</v>
      </c>
      <c r="M60" s="59">
        <f>SUMIF('2025 LL-CALCULATOR - UNITS'!A:A,Rebate_Lookup[[#This Row],[SKU CODE]],'2025 LL-CALCULATOR - UNITS'!J:J)</f>
        <v>0</v>
      </c>
      <c r="N60"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60" s="59">
        <f>COUNTIF('2025 LL-CALCULATOR - UNITS'!A:A,Rebate_Lookup[[#This Row],[SKU CODE]])</f>
        <v>0</v>
      </c>
      <c r="P60">
        <v>0</v>
      </c>
    </row>
    <row r="61" spans="2:16">
      <c r="B61" s="46" t="s">
        <v>147</v>
      </c>
      <c r="C61" s="30" t="str">
        <f>INDEX(PRICING[Agency/TT],MATCH(Rebate_Lookup[[#This Row],[SKU CODE]],PRICING[SKU],0))</f>
        <v>TT</v>
      </c>
      <c r="D61" t="str">
        <f>INDEX(PRICING[Product],MATCH(B61,PRICING[SKU],0))</f>
        <v>Terradex Quick Strike</v>
      </c>
      <c r="E61" t="str">
        <f>INDEX(PRICING[Size],MATCH(Rebate_Lookup[[#This Row],[SKU CODE]],PRICING[SKU],0))</f>
        <v xml:space="preserve">2.5 gal </v>
      </c>
      <c r="F61" s="47">
        <f>COUNTIFS(PRICING[SKU],B61)</f>
        <v>1</v>
      </c>
      <c r="G61" s="38">
        <v>1</v>
      </c>
      <c r="H61" s="151"/>
      <c r="I61" s="39"/>
      <c r="J61" s="157">
        <v>37.5</v>
      </c>
      <c r="K61" s="152">
        <f>SUMIFS(PRICING[Rebate $],PRICING[SKU],Rebate_Lookup[[#This Row],[SKU CODE]],PRICING[Set],2)</f>
        <v>0</v>
      </c>
      <c r="L61" s="152">
        <f>SUMIFS(PRICING[Rebate $],PRICING[SKU],Rebate_Lookup[[#This Row],[SKU CODE]],PRICING[Set],3)</f>
        <v>0</v>
      </c>
      <c r="M61" s="59">
        <f>SUMIF('2025 LL-CALCULATOR - UNITS'!A:A,Rebate_Lookup[[#This Row],[SKU CODE]],'2025 LL-CALCULATOR - UNITS'!J:J)</f>
        <v>0</v>
      </c>
      <c r="N61"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61" s="59">
        <f>COUNTIF('2025 LL-CALCULATOR - UNITS'!A:A,Rebate_Lookup[[#This Row],[SKU CODE]])</f>
        <v>0</v>
      </c>
      <c r="P61">
        <v>0</v>
      </c>
    </row>
    <row r="62" spans="2:16">
      <c r="B62" s="46" t="s">
        <v>148</v>
      </c>
      <c r="C62" s="30" t="str">
        <f>INDEX(PRICING[Agency/TT],MATCH(Rebate_Lookup[[#This Row],[SKU CODE]],PRICING[SKU],0))</f>
        <v>TT</v>
      </c>
      <c r="D62" t="str">
        <f>INDEX(PRICING[Product],MATCH(B62,PRICING[SKU],0))</f>
        <v>Terradex Quick Strike</v>
      </c>
      <c r="E62" t="str">
        <f>INDEX(PRICING[Size],MATCH(Rebate_Lookup[[#This Row],[SKU CODE]],PRICING[SKU],0))</f>
        <v>30 gal</v>
      </c>
      <c r="F62" s="47">
        <f>COUNTIFS(PRICING[SKU],B62)</f>
        <v>1</v>
      </c>
      <c r="G62" s="38">
        <v>1</v>
      </c>
      <c r="H62" s="151"/>
      <c r="I62" s="39"/>
      <c r="J62" s="157">
        <v>450</v>
      </c>
      <c r="K62" s="152">
        <f>SUMIFS(PRICING[Rebate $],PRICING[SKU],Rebate_Lookup[[#This Row],[SKU CODE]],PRICING[Set],2)</f>
        <v>0</v>
      </c>
      <c r="L62" s="152">
        <f>SUMIFS(PRICING[Rebate $],PRICING[SKU],Rebate_Lookup[[#This Row],[SKU CODE]],PRICING[Set],3)</f>
        <v>0</v>
      </c>
      <c r="M62" s="59">
        <f>SUMIF('2025 LL-CALCULATOR - UNITS'!A:A,Rebate_Lookup[[#This Row],[SKU CODE]],'2025 LL-CALCULATOR - UNITS'!J:J)</f>
        <v>0</v>
      </c>
      <c r="N62"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62" s="59">
        <f>COUNTIF('2025 LL-CALCULATOR - UNITS'!A:A,Rebate_Lookup[[#This Row],[SKU CODE]])</f>
        <v>0</v>
      </c>
      <c r="P62">
        <v>0</v>
      </c>
    </row>
    <row r="63" spans="2:16">
      <c r="B63" s="46">
        <v>81746257</v>
      </c>
      <c r="C63" s="30" t="str">
        <f>INDEX(PRICING[Agency/TT],MATCH(Rebate_Lookup[[#This Row],[SKU CODE]],PRICING[SKU],0))</f>
        <v>A</v>
      </c>
      <c r="D63" t="str">
        <f>INDEX(PRICING[Product],MATCH(B63,PRICING[SKU],0))</f>
        <v>Tribute® Total</v>
      </c>
      <c r="E63" t="str">
        <f>INDEX(PRICING[Size],MATCH(Rebate_Lookup[[#This Row],[SKU CODE]],PRICING[SKU],0))</f>
        <v>6 oz</v>
      </c>
      <c r="F63" s="47">
        <f>COUNTIFS(PRICING[SKU],B63)</f>
        <v>3</v>
      </c>
      <c r="G63" s="38">
        <v>1</v>
      </c>
      <c r="H63" s="151">
        <v>24</v>
      </c>
      <c r="I63" s="39">
        <v>48</v>
      </c>
      <c r="J63" s="54">
        <f>SUMIFS(PRICING[Rebate $],PRICING[SKU],Rebate_Lookup[[#This Row],[SKU CODE]],PRICING[Set],1)</f>
        <v>0</v>
      </c>
      <c r="K63" s="156">
        <v>30</v>
      </c>
      <c r="L63" s="156">
        <v>50</v>
      </c>
      <c r="M63" s="59">
        <f>SUMIF('2025 LL-CALCULATOR - UNITS'!A:A,Rebate_Lookup[[#This Row],[SKU CODE]],'2025 LL-CALCULATOR - UNITS'!J:J)</f>
        <v>0</v>
      </c>
      <c r="N63"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63" s="59">
        <f>COUNTIF('2025 LL-CALCULATOR - UNITS'!A:A,Rebate_Lookup[[#This Row],[SKU CODE]])</f>
        <v>1</v>
      </c>
      <c r="P63" t="b">
        <f>Rebate_Lookup[[#This Row],[Order Form Quantity]]&gt;=24</f>
        <v>0</v>
      </c>
    </row>
    <row r="64" spans="2:16">
      <c r="B64" s="46">
        <v>11008590</v>
      </c>
      <c r="C64" s="30" t="str">
        <f>INDEX(PRICING[Agency/TT],MATCH(Rebate_Lookup[[#This Row],[SKU CODE]],PRICING[SKU],0))</f>
        <v>A</v>
      </c>
      <c r="D64" t="str">
        <f>INDEX(PRICING[Product],MATCH(B64,PRICING[SKU],0))</f>
        <v>Xonerate® 2SC Herbicide</v>
      </c>
      <c r="E64" t="str">
        <f>INDEX(PRICING[Size],MATCH(Rebate_Lookup[[#This Row],[SKU CODE]],PRICING[SKU],0))</f>
        <v>12 oz</v>
      </c>
      <c r="F64" s="47">
        <f>COUNTIFS(PRICING[SKU],B64)</f>
        <v>2</v>
      </c>
      <c r="G64" s="38">
        <v>1</v>
      </c>
      <c r="H64" s="151">
        <v>24</v>
      </c>
      <c r="I64" s="39"/>
      <c r="J64" s="54">
        <f>SUMIFS(PRICING[Rebate $],PRICING[SKU],Rebate_Lookup[[#This Row],[SKU CODE]],PRICING[Set],1)</f>
        <v>0</v>
      </c>
      <c r="K64" s="152">
        <v>50</v>
      </c>
      <c r="L64" s="152">
        <f>SUMIFS(PRICING[Rebate $],PRICING[SKU],Rebate_Lookup[[#This Row],[SKU CODE]],PRICING[Set],3)</f>
        <v>0</v>
      </c>
      <c r="M64" s="59">
        <f>SUMIF('2025 LL-CALCULATOR - UNITS'!A:A,Rebate_Lookup[[#This Row],[SKU CODE]],'2025 LL-CALCULATOR - UNITS'!J:J)</f>
        <v>0</v>
      </c>
      <c r="N64"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64" s="59">
        <f>COUNTIF('2025 LL-CALCULATOR - UNITS'!A:A,Rebate_Lookup[[#This Row],[SKU CODE]])</f>
        <v>0</v>
      </c>
      <c r="P64" t="b">
        <f>Rebate_Lookup[[#This Row],[Order Form Quantity]]&gt;=24</f>
        <v>0</v>
      </c>
    </row>
    <row r="65" spans="2:16">
      <c r="B65" s="46" t="s">
        <v>149</v>
      </c>
      <c r="C65" s="30" t="str">
        <f>INDEX(PRICING[Agency/TT],MATCH(Rebate_Lookup[[#This Row],[SKU CODE]],PRICING[SKU],0))</f>
        <v>A</v>
      </c>
      <c r="D65" t="str">
        <f>INDEX(PRICING[Product],MATCH(B65,PRICING[SKU],0))</f>
        <v>Altus®</v>
      </c>
      <c r="E65" t="str">
        <f>INDEX(PRICING[Size],MATCH(Rebate_Lookup[[#This Row],[SKU CODE]],PRICING[SKU],0))</f>
        <v>64 oz</v>
      </c>
      <c r="F65" s="47">
        <f>COUNTIFS(PRICING[SKU],B65)</f>
        <v>3</v>
      </c>
      <c r="G65" s="38">
        <v>1</v>
      </c>
      <c r="H65" s="151">
        <v>16</v>
      </c>
      <c r="I65" s="39">
        <v>32</v>
      </c>
      <c r="J65" s="54">
        <f>SUMIFS(PRICING[Rebate $],PRICING[SKU],Rebate_Lookup[[#This Row],[SKU CODE]],PRICING[Set],1)</f>
        <v>0</v>
      </c>
      <c r="K65" s="152">
        <f>SUMIFS(PRICING[Rebate $],PRICING[SKU],Rebate_Lookup[[#This Row],[SKU CODE]],PRICING[Set],2)</f>
        <v>0</v>
      </c>
      <c r="L65" s="152">
        <f>SUMIFS(PRICING[Rebate $],PRICING[SKU],Rebate_Lookup[[#This Row],[SKU CODE]],PRICING[Set],3)</f>
        <v>0</v>
      </c>
      <c r="M65" s="59">
        <f>SUMIF('2025 LL-CALCULATOR - UNITS'!A:A,Rebate_Lookup[[#This Row],[SKU CODE]],'2025 LL-CALCULATOR - UNITS'!J:J)</f>
        <v>0</v>
      </c>
      <c r="N65"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65" s="59">
        <f>COUNTIF('2025 LL-CALCULATOR - UNITS'!A:A,Rebate_Lookup[[#This Row],[SKU CODE]])</f>
        <v>0</v>
      </c>
      <c r="P65" t="b">
        <f>Rebate_Lookup[[#This Row],[Order Form Quantity]]&gt;=16</f>
        <v>0</v>
      </c>
    </row>
    <row r="66" spans="2:16">
      <c r="B66" s="46">
        <v>11008513</v>
      </c>
      <c r="C66" s="30" t="str">
        <f>INDEX(PRICING[Agency/TT],MATCH(Rebate_Lookup[[#This Row],[SKU CODE]],PRICING[SKU],0))</f>
        <v>TT</v>
      </c>
      <c r="D66" t="str">
        <f>INDEX(PRICING[Product],MATCH(B66,PRICING[SKU],0))</f>
        <v xml:space="preserve">Aria® Insecticide  </v>
      </c>
      <c r="E66" t="str">
        <f>INDEX(PRICING[Size],MATCH(Rebate_Lookup[[#This Row],[SKU CODE]],PRICING[SKU],0))</f>
        <v>160 g</v>
      </c>
      <c r="F66" s="47">
        <f>COUNTIFS(PRICING[SKU],B66)</f>
        <v>1</v>
      </c>
      <c r="G66" s="38">
        <v>1</v>
      </c>
      <c r="H66" s="151">
        <v>8</v>
      </c>
      <c r="I66" s="39"/>
      <c r="J66" s="54"/>
      <c r="K66" s="152">
        <v>21</v>
      </c>
      <c r="L66" s="152">
        <f>SUMIFS(PRICING[Rebate $],PRICING[SKU],Rebate_Lookup[[#This Row],[SKU CODE]],PRICING[Set],3)</f>
        <v>0</v>
      </c>
      <c r="M66" s="59">
        <f>SUMIF('2025 LL-CALCULATOR - UNITS'!A:A,Rebate_Lookup[[#This Row],[SKU CODE]],'2025 LL-CALCULATOR - UNITS'!J:J)</f>
        <v>0</v>
      </c>
      <c r="N66"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66" s="59">
        <f>COUNTIF('2025 LL-CALCULATOR - UNITS'!A:A,Rebate_Lookup[[#This Row],[SKU CODE]])</f>
        <v>0</v>
      </c>
      <c r="P66" t="b">
        <f>Rebate_Lookup[[#This Row],[Order Form Quantity]]&gt;=8</f>
        <v>0</v>
      </c>
    </row>
    <row r="67" spans="2:16">
      <c r="B67" s="46">
        <v>11015390</v>
      </c>
      <c r="C67" s="30" t="str">
        <f>INDEX(PRICING[Agency/TT],MATCH(Rebate_Lookup[[#This Row],[SKU CODE]],PRICING[SKU],0))</f>
        <v>A</v>
      </c>
      <c r="D67" t="str">
        <f>INDEX(PRICING[Product],MATCH(B67,PRICING[SKU],0))</f>
        <v xml:space="preserve">Durentis™ Insecticide  </v>
      </c>
      <c r="E67" t="str">
        <f>INDEX(PRICING[Size],MATCH(Rebate_Lookup[[#This Row],[SKU CODE]],PRICING[SKU],0))</f>
        <v>16 oz</v>
      </c>
      <c r="F67" s="47">
        <f>COUNTIFS(PRICING[SKU],B67)</f>
        <v>4</v>
      </c>
      <c r="G67" s="38">
        <v>4</v>
      </c>
      <c r="H67" s="151">
        <v>9</v>
      </c>
      <c r="I67" s="39">
        <v>16</v>
      </c>
      <c r="J67" s="54">
        <v>90</v>
      </c>
      <c r="K67" s="152">
        <v>120</v>
      </c>
      <c r="L67" s="152">
        <v>160</v>
      </c>
      <c r="M67" s="59">
        <f>SUMIF('2025 LL-CALCULATOR - UNITS'!A:A,Rebate_Lookup[[#This Row],[SKU CODE]],'2025 LL-CALCULATOR - UNITS'!J:J)</f>
        <v>0</v>
      </c>
      <c r="N67"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Row],[MOQ_3]]),3,0))))))</f>
        <v>0</v>
      </c>
      <c r="O67" s="59">
        <f>COUNTIF('2025 LL-CALCULATOR - UNITS'!A:A,Rebate_Lookup[[#This Row],[SKU CODE]])</f>
        <v>0</v>
      </c>
      <c r="P67" t="b">
        <f>Rebate_Lookup[[#This Row],[Order Form Quantity]]&gt;=4</f>
        <v>0</v>
      </c>
    </row>
    <row r="68" spans="2:16">
      <c r="B68" s="46">
        <v>11015391</v>
      </c>
      <c r="C68" s="30" t="str">
        <f>INDEX(PRICING[Agency/TT],MATCH(Rebate_Lookup[[#This Row],[SKU CODE]],PRICING[SKU],0))</f>
        <v>A</v>
      </c>
      <c r="D68" t="str">
        <f>INDEX(PRICING[Product],MATCH(B68,PRICING[SKU],0))</f>
        <v xml:space="preserve">Durentis™ Insecticide  </v>
      </c>
      <c r="E68" t="str">
        <f>INDEX(PRICING[Size],MATCH(Rebate_Lookup[[#This Row],[SKU CODE]],PRICING[SKU],0))</f>
        <v>64 oz</v>
      </c>
      <c r="F68" s="47">
        <f>COUNTIFS(PRICING[SKU],B68)</f>
        <v>3</v>
      </c>
      <c r="G68" s="38">
        <v>1</v>
      </c>
      <c r="H68" s="151">
        <v>4</v>
      </c>
      <c r="I68" s="39">
        <v>8</v>
      </c>
      <c r="J68" s="54">
        <f>SUMIFS(PRICING[Rebate $],PRICING[SKU],Rebate_Lookup[[#This Row],[SKU CODE]],PRICING[Set],1)</f>
        <v>0</v>
      </c>
      <c r="K68" s="152">
        <f>SUMIFS(PRICING[Rebate $],PRICING[SKU],Rebate_Lookup[[#This Row],[SKU CODE]],PRICING[Set],2)</f>
        <v>557</v>
      </c>
      <c r="L68" s="152">
        <f>SUMIFS(PRICING[Rebate $],PRICING[SKU],Rebate_Lookup[[#This Row],[SKU CODE]],PRICING[Set],3)</f>
        <v>657</v>
      </c>
      <c r="M68" s="59">
        <f>SUMIF('2025 LL-CALCULATOR - UNITS'!A:A,Rebate_Lookup[[#This Row],[SKU CODE]],'2025 LL-CALCULATOR - UNITS'!J:J)</f>
        <v>0</v>
      </c>
      <c r="N68"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68" s="59">
        <f>COUNTIF('2025 LL-CALCULATOR - UNITS'!A:A,Rebate_Lookup[[#This Row],[SKU CODE]])</f>
        <v>0</v>
      </c>
      <c r="P68" t="b">
        <f>Rebate_Lookup[[#This Row],[Order Form Quantity]]&gt;=4</f>
        <v>0</v>
      </c>
    </row>
    <row r="69" spans="2:16">
      <c r="B69" s="46" t="s">
        <v>150</v>
      </c>
      <c r="C69" s="30" t="str">
        <f>INDEX(PRICING[Agency/TT],MATCH(Rebate_Lookup[[#This Row],[SKU CODE]],PRICING[SKU],0))</f>
        <v>TT</v>
      </c>
      <c r="D69" t="str">
        <f>INDEX(PRICING[Product],MATCH(B69,PRICING[SKU],0))</f>
        <v>Dylox SL420</v>
      </c>
      <c r="E69" t="str">
        <f>INDEX(PRICING[Size],MATCH(Rebate_Lookup[[#This Row],[SKU CODE]],PRICING[SKU],0))</f>
        <v xml:space="preserve">2.5 gal </v>
      </c>
      <c r="F69" s="47">
        <f>COUNTIFS(PRICING[SKU],B69)</f>
        <v>1</v>
      </c>
      <c r="G69" s="38">
        <v>1</v>
      </c>
      <c r="H69" s="151"/>
      <c r="I69" s="39"/>
      <c r="J69" s="54">
        <f>SUMIFS(PRICING[Rebate $],PRICING[SKU],Rebate_Lookup[[#This Row],[SKU CODE]],PRICING[Set],1)</f>
        <v>0</v>
      </c>
      <c r="K69" s="152">
        <f>SUMIFS(PRICING[Rebate $],PRICING[SKU],Rebate_Lookup[[#This Row],[SKU CODE]],PRICING[Set],2)</f>
        <v>0</v>
      </c>
      <c r="L69" s="152">
        <f>SUMIFS(PRICING[Rebate $],PRICING[SKU],Rebate_Lookup[[#This Row],[SKU CODE]],PRICING[Set],3)</f>
        <v>0</v>
      </c>
      <c r="M69" s="59">
        <f>SUMIF('2025 LL-CALCULATOR - UNITS'!A:A,Rebate_Lookup[[#This Row],[SKU CODE]],'2025 LL-CALCULATOR - UNITS'!J:J)</f>
        <v>0</v>
      </c>
      <c r="N69"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69" s="59">
        <f>COUNTIF('2025 LL-CALCULATOR - UNITS'!A:A,Rebate_Lookup[[#This Row],[SKU CODE]])</f>
        <v>0</v>
      </c>
      <c r="P69">
        <v>0</v>
      </c>
    </row>
    <row r="70" spans="2:16">
      <c r="B70" s="46" t="s">
        <v>151</v>
      </c>
      <c r="C70" s="30" t="str">
        <f>INDEX(PRICING[Agency/TT],MATCH(Rebate_Lookup[[#This Row],[SKU CODE]],PRICING[SKU],0))</f>
        <v>TT</v>
      </c>
      <c r="D70" t="str">
        <f>INDEX(PRICING[Product],MATCH(B70,PRICING[SKU],0))</f>
        <v>Floramite</v>
      </c>
      <c r="E70" t="str">
        <f>INDEX(PRICING[Size],MATCH(Rebate_Lookup[[#This Row],[SKU CODE]],PRICING[SKU],0))</f>
        <v>1 qt</v>
      </c>
      <c r="F70" s="47">
        <f>COUNTIFS(PRICING[SKU],B70)</f>
        <v>1</v>
      </c>
      <c r="G70" s="38">
        <v>4</v>
      </c>
      <c r="H70" s="151"/>
      <c r="I70" s="39"/>
      <c r="J70" s="54">
        <f>SUMIFS(PRICING[Rebate $],PRICING[SKU],Rebate_Lookup[[#This Row],[SKU CODE]],PRICING[Set],1)</f>
        <v>50</v>
      </c>
      <c r="K70" s="152">
        <f>SUMIFS(PRICING[Rebate $],PRICING[SKU],Rebate_Lookup[[#This Row],[SKU CODE]],PRICING[Set],2)</f>
        <v>0</v>
      </c>
      <c r="L70" s="152">
        <f>SUMIFS(PRICING[Rebate $],PRICING[SKU],Rebate_Lookup[[#This Row],[SKU CODE]],PRICING[Set],3)</f>
        <v>0</v>
      </c>
      <c r="M70" s="59">
        <f>SUMIF('2025 LL-CALCULATOR - UNITS'!A:A,Rebate_Lookup[[#This Row],[SKU CODE]],'2025 LL-CALCULATOR - UNITS'!J:J)</f>
        <v>0</v>
      </c>
      <c r="N70"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70" s="59">
        <f>COUNTIF('2025 LL-CALCULATOR - UNITS'!A:A,Rebate_Lookup[[#This Row],[SKU CODE]])</f>
        <v>0</v>
      </c>
      <c r="P70" t="b">
        <f>Rebate_Lookup[[#This Row],[Order Form Quantity]]&gt;=4</f>
        <v>0</v>
      </c>
    </row>
    <row r="71" spans="2:16">
      <c r="B71" s="46">
        <v>3944704</v>
      </c>
      <c r="C71" s="30" t="str">
        <f>INDEX(PRICING[Agency/TT],MATCH(Rebate_Lookup[[#This Row],[SKU CODE]],PRICING[SKU],0))</f>
        <v>TT</v>
      </c>
      <c r="D71" t="str">
        <f>INDEX(PRICING[Product],MATCH(B71,PRICING[SKU],0))</f>
        <v>Forbid</v>
      </c>
      <c r="E71" t="str">
        <f>INDEX(PRICING[Size],MATCH(Rebate_Lookup[[#This Row],[SKU CODE]],PRICING[SKU],0))</f>
        <v xml:space="preserve">8 oz </v>
      </c>
      <c r="F71" s="47">
        <f>COUNTIFS(PRICING[SKU],B71)</f>
        <v>1</v>
      </c>
      <c r="G71" s="38">
        <v>1</v>
      </c>
      <c r="H71" s="151"/>
      <c r="I71" s="39"/>
      <c r="J71" s="54">
        <f>SUMIFS(PRICING[Rebate $],PRICING[SKU],Rebate_Lookup[[#This Row],[SKU CODE]],PRICING[Set],1)</f>
        <v>22</v>
      </c>
      <c r="K71" s="152">
        <f>SUMIFS(PRICING[Rebate $],PRICING[SKU],Rebate_Lookup[[#This Row],[SKU CODE]],PRICING[Set],2)</f>
        <v>0</v>
      </c>
      <c r="L71" s="152">
        <f>SUMIFS(PRICING[Rebate $],PRICING[SKU],Rebate_Lookup[[#This Row],[SKU CODE]],PRICING[Set],3)</f>
        <v>0</v>
      </c>
      <c r="M71" s="59">
        <f>SUMIF('2025 LL-CALCULATOR - UNITS'!A:A,Rebate_Lookup[[#This Row],[SKU CODE]],'2025 LL-CALCULATOR - UNITS'!J:J)</f>
        <v>0</v>
      </c>
      <c r="N71"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71" s="59">
        <f>COUNTIF('2025 LL-CALCULATOR - UNITS'!A:A,Rebate_Lookup[[#This Row],[SKU CODE]])</f>
        <v>0</v>
      </c>
      <c r="P71">
        <v>0</v>
      </c>
    </row>
    <row r="72" spans="2:16">
      <c r="B72" s="46" t="s">
        <v>152</v>
      </c>
      <c r="C72" s="30" t="str">
        <f>INDEX(PRICING[Agency/TT],MATCH(Rebate_Lookup[[#This Row],[SKU CODE]],PRICING[SKU],0))</f>
        <v>A</v>
      </c>
      <c r="D72" t="str">
        <f>INDEX(PRICING[Product],MATCH(B72,PRICING[SKU],0))</f>
        <v>Kontos</v>
      </c>
      <c r="E72" t="str">
        <f>INDEX(PRICING[Size],MATCH(Rebate_Lookup[[#This Row],[SKU CODE]],PRICING[SKU],0))</f>
        <v>250 ml</v>
      </c>
      <c r="F72" s="47">
        <f>COUNTIFS(PRICING[SKU],B72)</f>
        <v>1</v>
      </c>
      <c r="G72" s="38">
        <v>1</v>
      </c>
      <c r="H72" s="151"/>
      <c r="I72" s="39"/>
      <c r="J72" s="54">
        <f>SUMIFS(PRICING[Rebate $],PRICING[SKU],Rebate_Lookup[[#This Row],[SKU CODE]],PRICING[Set],1)</f>
        <v>0</v>
      </c>
      <c r="K72" s="152">
        <f>SUMIFS(PRICING[Rebate $],PRICING[SKU],Rebate_Lookup[[#This Row],[SKU CODE]],PRICING[Set],2)</f>
        <v>0</v>
      </c>
      <c r="L72" s="152">
        <f>SUMIFS(PRICING[Rebate $],PRICING[SKU],Rebate_Lookup[[#This Row],[SKU CODE]],PRICING[Set],3)</f>
        <v>0</v>
      </c>
      <c r="M72" s="59">
        <f>SUMIF('2025 LL-CALCULATOR - UNITS'!A:A,Rebate_Lookup[[#This Row],[SKU CODE]],'2025 LL-CALCULATOR - UNITS'!J:J)</f>
        <v>0</v>
      </c>
      <c r="N72"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72" s="59">
        <f>COUNTIF('2025 LL-CALCULATOR - UNITS'!A:A,Rebate_Lookup[[#This Row],[SKU CODE]])</f>
        <v>0</v>
      </c>
      <c r="P72">
        <v>0</v>
      </c>
    </row>
    <row r="73" spans="2:16">
      <c r="B73" s="46" t="s">
        <v>153</v>
      </c>
      <c r="C73" s="30" t="str">
        <f>INDEX(PRICING[Agency/TT],MATCH(Rebate_Lookup[[#This Row],[SKU CODE]],PRICING[SKU],0))</f>
        <v>A</v>
      </c>
      <c r="D73" t="str">
        <f>INDEX(PRICING[Product],MATCH(B73,PRICING[SKU],0))</f>
        <v>Kontos</v>
      </c>
      <c r="E73" t="str">
        <f>INDEX(PRICING[Size],MATCH(Rebate_Lookup[[#This Row],[SKU CODE]],PRICING[SKU],0))</f>
        <v>1 qt</v>
      </c>
      <c r="F73" s="47">
        <f>COUNTIFS(PRICING[SKU],B73)</f>
        <v>3</v>
      </c>
      <c r="G73" s="38">
        <v>1</v>
      </c>
      <c r="H73" s="151">
        <v>4</v>
      </c>
      <c r="I73" s="39">
        <v>16</v>
      </c>
      <c r="J73" s="54">
        <f>SUMIFS(PRICING[Rebate $],PRICING[SKU],Rebate_Lookup[[#This Row],[SKU CODE]],PRICING[Set],1)</f>
        <v>0</v>
      </c>
      <c r="K73" s="152">
        <f>SUMIFS(PRICING[Rebate $],PRICING[SKU],Rebate_Lookup[[#This Row],[SKU CODE]],PRICING[Set],2)</f>
        <v>0</v>
      </c>
      <c r="L73" s="152">
        <f>SUMIFS(PRICING[Rebate $],PRICING[SKU],Rebate_Lookup[[#This Row],[SKU CODE]],PRICING[Set],3)</f>
        <v>0</v>
      </c>
      <c r="M73" s="59">
        <f>SUMIF('2025 LL-CALCULATOR - UNITS'!A:A,Rebate_Lookup[[#This Row],[SKU CODE]],'2025 LL-CALCULATOR - UNITS'!J:J)</f>
        <v>0</v>
      </c>
      <c r="N73"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73" s="59">
        <f>COUNTIF('2025 LL-CALCULATOR - UNITS'!A:A,Rebate_Lookup[[#This Row],[SKU CODE]])</f>
        <v>0</v>
      </c>
      <c r="P73">
        <v>0</v>
      </c>
    </row>
    <row r="74" spans="2:16">
      <c r="B74" s="46" t="s">
        <v>154</v>
      </c>
      <c r="C74" s="30" t="str">
        <f>INDEX(PRICING[Agency/TT],MATCH(Rebate_Lookup[[#This Row],[SKU CODE]],PRICING[SKU],0))</f>
        <v>TT</v>
      </c>
      <c r="D74" t="str">
        <f>INDEX(PRICING[Product],MATCH(B74,PRICING[SKU],0))</f>
        <v>Merit 2F</v>
      </c>
      <c r="E74" t="str">
        <f>INDEX(PRICING[Size],MATCH(Rebate_Lookup[[#This Row],[SKU CODE]],PRICING[SKU],0))</f>
        <v>1 gal</v>
      </c>
      <c r="F74" s="47">
        <f>COUNTIFS(PRICING[SKU],B74)</f>
        <v>1</v>
      </c>
      <c r="G74" s="38">
        <v>1</v>
      </c>
      <c r="H74" s="151"/>
      <c r="I74" s="39"/>
      <c r="J74" s="54">
        <f>SUMIFS(PRICING[Rebate $],PRICING[SKU],Rebate_Lookup[[#This Row],[SKU CODE]],PRICING[Set],1)</f>
        <v>0</v>
      </c>
      <c r="K74" s="152">
        <f>SUMIFS(PRICING[Rebate $],PRICING[SKU],Rebate_Lookup[[#This Row],[SKU CODE]],PRICING[Set],2)</f>
        <v>0</v>
      </c>
      <c r="L74" s="152">
        <f>SUMIFS(PRICING[Rebate $],PRICING[SKU],Rebate_Lookup[[#This Row],[SKU CODE]],PRICING[Set],3)</f>
        <v>0</v>
      </c>
      <c r="M74" s="59">
        <f>SUMIF('2025 LL-CALCULATOR - UNITS'!A:A,Rebate_Lookup[[#This Row],[SKU CODE]],'2025 LL-CALCULATOR - UNITS'!J:J)</f>
        <v>0</v>
      </c>
      <c r="N74"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74" s="59">
        <f>COUNTIF('2025 LL-CALCULATOR - UNITS'!A:A,Rebate_Lookup[[#This Row],[SKU CODE]])</f>
        <v>0</v>
      </c>
      <c r="P74">
        <v>0</v>
      </c>
    </row>
    <row r="75" spans="2:16">
      <c r="B75" s="46" t="s">
        <v>155</v>
      </c>
      <c r="C75" s="30" t="str">
        <f>INDEX(PRICING[Agency/TT],MATCH(Rebate_Lookup[[#This Row],[SKU CODE]],PRICING[SKU],0))</f>
        <v>A</v>
      </c>
      <c r="D75" t="str">
        <f>INDEX(PRICING[Product],MATCH(B75,PRICING[SKU],0))</f>
        <v>Savate</v>
      </c>
      <c r="E75" t="str">
        <f>INDEX(PRICING[Size],MATCH(Rebate_Lookup[[#This Row],[SKU CODE]],PRICING[SKU],0))</f>
        <v>8 oz</v>
      </c>
      <c r="F75" s="47">
        <f>COUNTIFS(PRICING[SKU],B75)</f>
        <v>3</v>
      </c>
      <c r="G75" s="38">
        <v>1</v>
      </c>
      <c r="H75" s="151">
        <v>12</v>
      </c>
      <c r="I75" s="39">
        <v>30</v>
      </c>
      <c r="J75" s="54">
        <f>SUMIFS(PRICING[Rebate $],PRICING[SKU],Rebate_Lookup[[#This Row],[SKU CODE]],PRICING[Set],1)</f>
        <v>0</v>
      </c>
      <c r="K75" s="152">
        <f>SUMIFS(PRICING[Rebate $],PRICING[SKU],Rebate_Lookup[[#This Row],[SKU CODE]],PRICING[Set],2)</f>
        <v>0</v>
      </c>
      <c r="L75" s="152">
        <f>SUMIFS(PRICING[Rebate $],PRICING[SKU],Rebate_Lookup[[#This Row],[SKU CODE]],PRICING[Set],3)</f>
        <v>0</v>
      </c>
      <c r="M75" s="59">
        <f>SUMIF('2025 LL-CALCULATOR - UNITS'!A:A,Rebate_Lookup[[#This Row],[SKU CODE]],'2025 LL-CALCULATOR - UNITS'!J:J)</f>
        <v>0</v>
      </c>
      <c r="N75"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75" s="59">
        <f>COUNTIF('2025 LL-CALCULATOR - UNITS'!A:A,Rebate_Lookup[[#This Row],[SKU CODE]])</f>
        <v>0</v>
      </c>
      <c r="P75">
        <v>0</v>
      </c>
    </row>
    <row r="76" spans="2:16">
      <c r="B76" s="46">
        <v>11009495</v>
      </c>
      <c r="C76" s="30" t="str">
        <f>INDEX(PRICING[Agency/TT],MATCH(Rebate_Lookup[[#This Row],[SKU CODE]],PRICING[SKU],0))</f>
        <v>A</v>
      </c>
      <c r="D76" t="str">
        <f>INDEX(PRICING[Product],MATCH(B76,PRICING[SKU],0))</f>
        <v>Scion</v>
      </c>
      <c r="E76" t="str">
        <f>INDEX(PRICING[Size],MATCH(Rebate_Lookup[[#This Row],[SKU CODE]],PRICING[SKU],0))</f>
        <v>32 oz</v>
      </c>
      <c r="F76" s="47">
        <f>COUNTIFS(PRICING[SKU],B76)</f>
        <v>1</v>
      </c>
      <c r="G76" s="38">
        <v>1</v>
      </c>
      <c r="H76" s="151"/>
      <c r="I76" s="39"/>
      <c r="J76" s="54">
        <f>SUMIFS(PRICING[Rebate $],PRICING[SKU],Rebate_Lookup[[#This Row],[SKU CODE]],PRICING[Set],1)</f>
        <v>38</v>
      </c>
      <c r="K76" s="152">
        <f>SUMIFS(PRICING[Rebate $],PRICING[SKU],Rebate_Lookup[[#This Row],[SKU CODE]],PRICING[Set],2)</f>
        <v>0</v>
      </c>
      <c r="L76" s="152">
        <f>SUMIFS(PRICING[Rebate $],PRICING[SKU],Rebate_Lookup[[#This Row],[SKU CODE]],PRICING[Set],3)</f>
        <v>0</v>
      </c>
      <c r="M76" s="59">
        <f>SUMIF('2025 LL-CALCULATOR - UNITS'!A:A,Rebate_Lookup[[#This Row],[SKU CODE]],'2025 LL-CALCULATOR - UNITS'!J:J)</f>
        <v>0</v>
      </c>
      <c r="N76"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76" s="59">
        <f>COUNTIF('2025 LL-CALCULATOR - UNITS'!A:A,Rebate_Lookup[[#This Row],[SKU CODE]])</f>
        <v>0</v>
      </c>
      <c r="P76">
        <v>0</v>
      </c>
    </row>
    <row r="77" spans="2:16">
      <c r="B77" s="46" t="s">
        <v>156</v>
      </c>
      <c r="C77" s="30" t="str">
        <f>INDEX(PRICING[Agency/TT],MATCH(Rebate_Lookup[[#This Row],[SKU CODE]],PRICING[SKU],0))</f>
        <v>TT</v>
      </c>
      <c r="D77" t="str">
        <f>INDEX(PRICING[Product],MATCH(B77,PRICING[SKU],0))</f>
        <v>Shuttle</v>
      </c>
      <c r="E77" t="str">
        <f>INDEX(PRICING[Size],MATCH(Rebate_Lookup[[#This Row],[SKU CODE]],PRICING[SKU],0))</f>
        <v>1 qt</v>
      </c>
      <c r="F77" s="47">
        <f>COUNTIFS(PRICING[SKU],B77)</f>
        <v>1</v>
      </c>
      <c r="G77" s="38">
        <v>4</v>
      </c>
      <c r="H77" s="151"/>
      <c r="I77" s="39"/>
      <c r="J77" s="54">
        <f>SUMIFS(PRICING[Rebate $],PRICING[SKU],Rebate_Lookup[[#This Row],[SKU CODE]],PRICING[Set],1)</f>
        <v>25</v>
      </c>
      <c r="K77" s="152">
        <f>SUMIFS(PRICING[Rebate $],PRICING[SKU],Rebate_Lookup[[#This Row],[SKU CODE]],PRICING[Set],2)</f>
        <v>0</v>
      </c>
      <c r="L77" s="152">
        <f>SUMIFS(PRICING[Rebate $],PRICING[SKU],Rebate_Lookup[[#This Row],[SKU CODE]],PRICING[Set],3)</f>
        <v>0</v>
      </c>
      <c r="M77" s="59">
        <f>SUMIF('2025 LL-CALCULATOR - UNITS'!A:A,Rebate_Lookup[[#This Row],[SKU CODE]],'2025 LL-CALCULATOR - UNITS'!J:J)</f>
        <v>0</v>
      </c>
      <c r="N77"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77" s="59">
        <f>COUNTIF('2025 LL-CALCULATOR - UNITS'!A:A,Rebate_Lookup[[#This Row],[SKU CODE]])</f>
        <v>0</v>
      </c>
      <c r="P77" t="b">
        <f>Rebate_Lookup[[#This Row],[Order Form Quantity]]&gt;=4</f>
        <v>0</v>
      </c>
    </row>
    <row r="78" spans="2:16">
      <c r="B78" s="46">
        <v>11008457</v>
      </c>
      <c r="C78" s="30" t="str">
        <f>INDEX(PRICING[Agency/TT],MATCH(Rebate_Lookup[[#This Row],[SKU CODE]],PRICING[SKU],0))</f>
        <v>TT</v>
      </c>
      <c r="D78" t="str">
        <f>INDEX(PRICING[Product],MATCH(B78,PRICING[SKU],0))</f>
        <v xml:space="preserve">Talstar® Select Insecticide (RUP) </v>
      </c>
      <c r="E78" t="str">
        <f>INDEX(PRICING[Size],MATCH(Rebate_Lookup[[#This Row],[SKU CODE]],PRICING[SKU],0))</f>
        <v>1 gal</v>
      </c>
      <c r="F78" s="47">
        <f>COUNTIFS(PRICING[SKU],B78)</f>
        <v>1</v>
      </c>
      <c r="G78" s="38">
        <v>4</v>
      </c>
      <c r="H78" s="151"/>
      <c r="I78" s="39"/>
      <c r="J78" s="157">
        <v>6</v>
      </c>
      <c r="K78" s="152">
        <f>SUMIFS(PRICING[Rebate $],PRICING[SKU],Rebate_Lookup[[#This Row],[SKU CODE]],PRICING[Set],2)</f>
        <v>0</v>
      </c>
      <c r="L78" s="152">
        <f>SUMIFS(PRICING[Rebate $],PRICING[SKU],Rebate_Lookup[[#This Row],[SKU CODE]],PRICING[Set],3)</f>
        <v>0</v>
      </c>
      <c r="M78" s="59">
        <f>SUMIF('2025 LL-CALCULATOR - UNITS'!A:A,Rebate_Lookup[[#This Row],[SKU CODE]],'2025 LL-CALCULATOR - UNITS'!J:J)</f>
        <v>0</v>
      </c>
      <c r="N78"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78" s="59">
        <f>COUNTIF('2025 LL-CALCULATOR - UNITS'!A:A,Rebate_Lookup[[#This Row],[SKU CODE]])</f>
        <v>0</v>
      </c>
      <c r="P78" t="b">
        <f>Rebate_Lookup[[#This Row],[Order Form Quantity]]&gt;=4</f>
        <v>0</v>
      </c>
    </row>
    <row r="79" spans="2:16">
      <c r="B79" s="46">
        <v>86797658</v>
      </c>
      <c r="C79" s="30" t="str">
        <f>INDEX(PRICING[Agency/TT],MATCH(Rebate_Lookup[[#This Row],[SKU CODE]],PRICING[SKU],0))</f>
        <v>A</v>
      </c>
      <c r="D79" t="str">
        <f>INDEX(PRICING[Product],MATCH(B79,PRICING[SKU],0))</f>
        <v>Tetrino®</v>
      </c>
      <c r="E79" t="str">
        <f>INDEX(PRICING[Size],MATCH(Rebate_Lookup[[#This Row],[SKU CODE]],PRICING[SKU],0))</f>
        <v> 1 gal</v>
      </c>
      <c r="F79" s="47">
        <f>COUNTIFS(PRICING[SKU],B79)</f>
        <v>2</v>
      </c>
      <c r="G79" s="38">
        <v>4</v>
      </c>
      <c r="H79" s="151"/>
      <c r="I79" s="39"/>
      <c r="J79" s="157">
        <v>40</v>
      </c>
      <c r="K79" s="152">
        <f>SUMIFS(PRICING[Rebate $],PRICING[SKU],Rebate_Lookup[[#This Row],[SKU CODE]],PRICING[Set],2)</f>
        <v>0</v>
      </c>
      <c r="L79" s="152">
        <f>SUMIFS(PRICING[Rebate $],PRICING[SKU],Rebate_Lookup[[#This Row],[SKU CODE]],PRICING[Set],3)</f>
        <v>0</v>
      </c>
      <c r="M79" s="59">
        <f>SUMIF('2025 LL-CALCULATOR - UNITS'!A:A,Rebate_Lookup[[#This Row],[SKU CODE]],'2025 LL-CALCULATOR - UNITS'!J:J)</f>
        <v>0</v>
      </c>
      <c r="N79"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2</v>
      </c>
      <c r="O79" s="59">
        <f>COUNTIF('2025 LL-CALCULATOR - UNITS'!A:A,Rebate_Lookup[[#This Row],[SKU CODE]])</f>
        <v>0</v>
      </c>
      <c r="P79" t="b">
        <f>Rebate_Lookup[[#This Row],[Order Form Quantity]]&gt;=4</f>
        <v>0</v>
      </c>
    </row>
    <row r="80" spans="2:16">
      <c r="B80" s="46" t="s">
        <v>157</v>
      </c>
      <c r="C80" s="30" t="str">
        <f>INDEX(PRICING[Agency/TT],MATCH(Rebate_Lookup[[#This Row],[SKU CODE]],PRICING[SKU],0))</f>
        <v>TT</v>
      </c>
      <c r="D80" t="str">
        <f>INDEX(PRICING[Product],MATCH(B80,PRICING[SKU],0))</f>
        <v>TopChoice</v>
      </c>
      <c r="E80" t="str">
        <f>INDEX(PRICING[Size],MATCH(Rebate_Lookup[[#This Row],[SKU CODE]],PRICING[SKU],0))</f>
        <v>50 lb</v>
      </c>
      <c r="F80" s="47">
        <f>COUNTIFS(PRICING[SKU],B80)</f>
        <v>1</v>
      </c>
      <c r="G80" s="38">
        <v>1</v>
      </c>
      <c r="H80" s="151"/>
      <c r="I80" s="39"/>
      <c r="J80" s="54">
        <v>2</v>
      </c>
      <c r="K80" s="152">
        <f>SUMIFS(PRICING[Rebate $],PRICING[SKU],Rebate_Lookup[[#This Row],[SKU CODE]],PRICING[Set],2)</f>
        <v>0</v>
      </c>
      <c r="L80" s="152">
        <f>SUMIFS(PRICING[Rebate $],PRICING[SKU],Rebate_Lookup[[#This Row],[SKU CODE]],PRICING[Set],3)</f>
        <v>0</v>
      </c>
      <c r="M80" s="59">
        <f>SUMIF('2025 LL-CALCULATOR - UNITS'!A:A,Rebate_Lookup[[#This Row],[SKU CODE]],'2025 LL-CALCULATOR - UNITS'!J:J)</f>
        <v>0</v>
      </c>
      <c r="N80"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80" s="59">
        <f>COUNTIF('2025 LL-CALCULATOR - UNITS'!A:A,Rebate_Lookup[[#This Row],[SKU CODE]])</f>
        <v>0</v>
      </c>
      <c r="P80">
        <v>0</v>
      </c>
    </row>
    <row r="81" spans="2:16">
      <c r="B81" s="46">
        <v>11008521</v>
      </c>
      <c r="C81" s="30" t="str">
        <f>INDEX(PRICING[Agency/TT],MATCH(Rebate_Lookup[[#This Row],[SKU CODE]],PRICING[SKU],0))</f>
        <v>A</v>
      </c>
      <c r="D81" t="str">
        <f>INDEX(PRICING[Product],MATCH(B81,PRICING[SKU],0))</f>
        <v>Triple Crown® Golf Insecticide (RUP)</v>
      </c>
      <c r="E81" t="str">
        <f>INDEX(PRICING[Size],MATCH(Rebate_Lookup[[#This Row],[SKU CODE]],PRICING[SKU],0))</f>
        <v>1 gal</v>
      </c>
      <c r="F81" s="47">
        <f>COUNTIFS(PRICING[SKU],B81)</f>
        <v>3</v>
      </c>
      <c r="G81" s="38">
        <v>1</v>
      </c>
      <c r="H81" s="151">
        <v>20</v>
      </c>
      <c r="I81" s="39">
        <v>40</v>
      </c>
      <c r="J81" s="54">
        <v>0</v>
      </c>
      <c r="K81" s="152">
        <v>12</v>
      </c>
      <c r="L81" s="152">
        <v>25</v>
      </c>
      <c r="M81" s="59">
        <f>SUMIF('2025 LL-CALCULATOR - UNITS'!A:A,Rebate_Lookup[[#This Row],[SKU CODE]],'2025 LL-CALCULATOR - UNITS'!J:J)</f>
        <v>0</v>
      </c>
      <c r="N81"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81" s="59">
        <f>COUNTIF('2025 LL-CALCULATOR - UNITS'!A:A,Rebate_Lookup[[#This Row],[SKU CODE]])</f>
        <v>0</v>
      </c>
      <c r="P81" t="b">
        <f>Rebate_Lookup[[#This Row],[Order Form Quantity]]&gt;=20</f>
        <v>0</v>
      </c>
    </row>
    <row r="82" spans="2:16">
      <c r="B82" s="46">
        <v>11008520</v>
      </c>
      <c r="C82" s="30" t="str">
        <f>INDEX(PRICING[Agency/TT],MATCH(Rebate_Lookup[[#This Row],[SKU CODE]],PRICING[SKU],0))</f>
        <v>A</v>
      </c>
      <c r="D82" t="str">
        <f>INDEX(PRICING[Product],MATCH(B82,PRICING[SKU],0))</f>
        <v xml:space="preserve">Triple Crown® T&amp;O Insecticide </v>
      </c>
      <c r="E82" t="str">
        <f>INDEX(PRICING[Size],MATCH(Rebate_Lookup[[#This Row],[SKU CODE]],PRICING[SKU],0))</f>
        <v xml:space="preserve">1 gal </v>
      </c>
      <c r="F82" s="47">
        <f>COUNTIFS(PRICING[SKU],B82)</f>
        <v>3</v>
      </c>
      <c r="G82" s="38">
        <v>1</v>
      </c>
      <c r="H82" s="151">
        <v>20</v>
      </c>
      <c r="I82" s="39">
        <v>40</v>
      </c>
      <c r="J82" s="54">
        <f>SUMIFS(PRICING[Rebate $],PRICING[SKU],Rebate_Lookup[[#This Row],[SKU CODE]],PRICING[Set],1)</f>
        <v>0</v>
      </c>
      <c r="K82" s="152">
        <v>12</v>
      </c>
      <c r="L82" s="152">
        <v>25</v>
      </c>
      <c r="M82" s="59">
        <f>SUMIF('2025 LL-CALCULATOR - UNITS'!A:A,Rebate_Lookup[[#This Row],[SKU CODE]],'2025 LL-CALCULATOR - UNITS'!J:J)</f>
        <v>0</v>
      </c>
      <c r="N82"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82" s="59">
        <f>COUNTIF('2025 LL-CALCULATOR - UNITS'!A:A,Rebate_Lookup[[#This Row],[SKU CODE]])</f>
        <v>0</v>
      </c>
      <c r="P82" t="b">
        <f>Rebate_Lookup[[#This Row],[Order Form Quantity]]&gt;=20</f>
        <v>0</v>
      </c>
    </row>
    <row r="83" spans="2:16">
      <c r="B83" s="46" t="s">
        <v>158</v>
      </c>
      <c r="C83" s="30" t="str">
        <f>INDEX(PRICING[Agency/TT],MATCH(Rebate_Lookup[[#This Row],[SKU CODE]],PRICING[SKU],0))</f>
        <v>TT</v>
      </c>
      <c r="D83" t="str">
        <f>INDEX(PRICING[Product],MATCH(B83,PRICING[SKU],0))</f>
        <v>B-Nine</v>
      </c>
      <c r="E83" t="str">
        <f>INDEX(PRICING[Size],MATCH(Rebate_Lookup[[#This Row],[SKU CODE]],PRICING[SKU],0))</f>
        <v>5 lb</v>
      </c>
      <c r="F83" s="47">
        <f>COUNTIFS(PRICING[SKU],B83)</f>
        <v>1</v>
      </c>
      <c r="G83" s="38">
        <v>4</v>
      </c>
      <c r="H83" s="151"/>
      <c r="I83" s="39"/>
      <c r="J83" s="54">
        <f>SUMIFS(PRICING[Rebate $],PRICING[SKU],Rebate_Lookup[[#This Row],[SKU CODE]],PRICING[Set],1)</f>
        <v>12</v>
      </c>
      <c r="K83" s="152">
        <f>SUMIFS(PRICING[Rebate $],PRICING[SKU],Rebate_Lookup[[#This Row],[SKU CODE]],PRICING[Set],2)</f>
        <v>0</v>
      </c>
      <c r="L83" s="152">
        <f>SUMIFS(PRICING[Rebate $],PRICING[SKU],Rebate_Lookup[[#This Row],[SKU CODE]],PRICING[Set],3)</f>
        <v>0</v>
      </c>
      <c r="M83" s="59">
        <f>SUMIF('2025 LL-CALCULATOR - UNITS'!A:A,Rebate_Lookup[[#This Row],[SKU CODE]],'2025 LL-CALCULATOR - UNITS'!J:J)</f>
        <v>0</v>
      </c>
      <c r="N83" s="59">
        <f>IF(Rebate_Lookup[[#This Row],[Instances]]=1,1,
IF(AND(Rebate_Lookup[[#This Row],[Instances]]=2,Rebate_Lookup[[#This Row],[Order Form Quantity]]&lt;Rebate_Lookup[[#This Row],[MOQ_2]]),1,IF(AND(Rebate_Lookup[[#This Row],[Instances]]=2,Rebate_Lookup[[#This Row],[Order Form Quantity]]&gt;=Rebate_Lookup[[#This Row],[MOQ_2]]),2,
IF(AND(Rebate_Lookup[[#This Row],[Instances]]=3,Rebate_Lookup[[#This Row],[Order Form Quantity]]&lt;Rebate_Lookup[[#This Row],[MOQ_2]]),1,IF(AND(Rebate_Lookup[[#This Row],[Instances]]=3,Rebate_Lookup[[#This Row],[MOQ_2]]&lt;=Rebate_Lookup[[#This Row],[Order Form Quantity]],Rebate_Lookup[[#This Row],[Order Form Quantity]]&lt;Rebate_Lookup[[#This Row],[MOQ_3]]),2,IF(AND(Rebate_Lookup[[#This Row],[Instances]]=3,Rebate_Lookup[[#This Row],[Order Form Quantity]]&gt;=Rebate_Lookup[[#This Row],[MOQ_3]]),3))))))</f>
        <v>1</v>
      </c>
      <c r="O83" s="59">
        <f>COUNTIF('2025 LL-CALCULATOR - UNITS'!A:A,Rebate_Lookup[[#This Row],[SKU CODE]])</f>
        <v>0</v>
      </c>
      <c r="P83" t="b">
        <f>Rebate_Lookup[[#This Row],[Order Form Quantity]]&gt;=4</f>
        <v>0</v>
      </c>
    </row>
    <row r="124" spans="4:4">
      <c r="D124">
        <v>11015390</v>
      </c>
    </row>
    <row r="125" spans="4:4">
      <c r="D125">
        <v>11015391</v>
      </c>
    </row>
    <row r="126" spans="4:4">
      <c r="D126" t="s">
        <v>150</v>
      </c>
    </row>
    <row r="127" spans="4:4">
      <c r="D127" t="s">
        <v>151</v>
      </c>
    </row>
    <row r="128" spans="4:4">
      <c r="D128">
        <v>3944704</v>
      </c>
    </row>
    <row r="129" spans="4:4">
      <c r="D129" t="s">
        <v>152</v>
      </c>
    </row>
    <row r="130" spans="4:4">
      <c r="D130" t="s">
        <v>153</v>
      </c>
    </row>
    <row r="131" spans="4:4">
      <c r="D131" t="s">
        <v>154</v>
      </c>
    </row>
    <row r="132" spans="4:4">
      <c r="D132" t="s">
        <v>155</v>
      </c>
    </row>
    <row r="133" spans="4:4">
      <c r="D133">
        <v>11009495</v>
      </c>
    </row>
    <row r="134" spans="4:4">
      <c r="D134" t="s">
        <v>156</v>
      </c>
    </row>
    <row r="135" spans="4:4">
      <c r="D135">
        <v>11008457</v>
      </c>
    </row>
    <row r="136" spans="4:4">
      <c r="D136">
        <v>86797658</v>
      </c>
    </row>
    <row r="137" spans="4:4">
      <c r="D137" t="s">
        <v>157</v>
      </c>
    </row>
    <row r="138" spans="4:4">
      <c r="D138">
        <v>11008521</v>
      </c>
    </row>
    <row r="139" spans="4:4">
      <c r="D139">
        <v>11008520</v>
      </c>
    </row>
    <row r="140" spans="4:4">
      <c r="D140" t="s">
        <v>158</v>
      </c>
    </row>
  </sheetData>
  <sheetProtection algorithmName="SHA-512" hashValue="FSkkrQLpOHRtb2+IhKSNX4tdzrNaWG4yTShkL+1YMSb0FHT3xd1mkbhHyP03xO8UGrbRwI6/4AK5XeO/vFcnUg==" saltValue="I1hQqpmaWyPRxo4/TjYC1g==" spinCount="100000" sheet="1" objects="1" scenarios="1"/>
  <conditionalFormatting sqref="H3:I83">
    <cfRule type="cellIs" dxfId="123" priority="2" operator="equal">
      <formula>0</formula>
    </cfRule>
  </conditionalFormatting>
  <conditionalFormatting sqref="J3:L83">
    <cfRule type="cellIs" dxfId="122" priority="1" operator="equal">
      <formula>0</formula>
    </cfRule>
  </conditionalFormatting>
  <pageMargins left="0.7" right="0.7" top="0.75" bottom="0.75" header="0.3" footer="0.3"/>
  <ignoredErrors>
    <ignoredError sqref="F3:F14 F16:F66" calculatedColumn="1"/>
  </ignoredErrors>
  <legacy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BDB2-2C52-4837-A665-399D76180251}">
  <sheetPr codeName="Sheet5">
    <tabColor theme="1"/>
  </sheetPr>
  <dimension ref="A1:AF159"/>
  <sheetViews>
    <sheetView zoomScale="80" zoomScaleNormal="80" workbookViewId="0">
      <selection activeCell="H14" sqref="H14"/>
    </sheetView>
  </sheetViews>
  <sheetFormatPr defaultColWidth="8.7109375" defaultRowHeight="15"/>
  <cols>
    <col min="1" max="2" width="11.5703125" style="7" customWidth="1"/>
    <col min="3" max="4" width="12.7109375" style="7" customWidth="1"/>
    <col min="5" max="6" width="11.140625" style="7" customWidth="1"/>
    <col min="7" max="7" width="16.140625" style="7" customWidth="1"/>
    <col min="8" max="9" width="16.140625" style="8" customWidth="1"/>
    <col min="10" max="10" width="16.140625" style="9" customWidth="1"/>
    <col min="11" max="11" width="33.140625" style="7" customWidth="1"/>
    <col min="12" max="12" width="8.140625" style="7" customWidth="1"/>
    <col min="13" max="13" width="21" style="7" customWidth="1"/>
    <col min="14" max="15" width="17.28515625" style="7" customWidth="1"/>
    <col min="16" max="16" width="11.7109375" style="10" customWidth="1"/>
    <col min="17" max="17" width="12.28515625" style="11" customWidth="1"/>
    <col min="18" max="25" width="20.85546875" style="7" customWidth="1"/>
    <col min="26" max="29" width="11.7109375" style="7" customWidth="1"/>
    <col min="30" max="30" width="20.5703125" style="7" customWidth="1"/>
    <col min="31" max="31" width="11.85546875" style="7" customWidth="1"/>
    <col min="32" max="16384" width="8.7109375" style="7"/>
  </cols>
  <sheetData>
    <row r="1" spans="1:32">
      <c r="A1" s="7" t="s">
        <v>159</v>
      </c>
      <c r="B1" s="7" t="s">
        <v>107</v>
      </c>
      <c r="C1" s="7" t="s">
        <v>160</v>
      </c>
      <c r="D1" s="7" t="s">
        <v>161</v>
      </c>
      <c r="E1" s="7" t="s">
        <v>162</v>
      </c>
      <c r="F1" s="7" t="s">
        <v>163</v>
      </c>
      <c r="G1" s="7" t="s">
        <v>164</v>
      </c>
      <c r="H1" s="8" t="s">
        <v>165</v>
      </c>
      <c r="I1" s="8" t="s">
        <v>166</v>
      </c>
      <c r="J1" s="9" t="s">
        <v>167</v>
      </c>
      <c r="K1" s="7" t="s">
        <v>168</v>
      </c>
      <c r="L1" s="7" t="s">
        <v>109</v>
      </c>
      <c r="M1" s="7" t="s">
        <v>169</v>
      </c>
      <c r="N1" s="7" t="s">
        <v>170</v>
      </c>
      <c r="O1" s="7" t="s">
        <v>171</v>
      </c>
      <c r="P1" s="10" t="s">
        <v>172</v>
      </c>
      <c r="Q1" s="11" t="s">
        <v>173</v>
      </c>
      <c r="R1" s="7" t="s">
        <v>174</v>
      </c>
      <c r="S1" s="7" t="s">
        <v>175</v>
      </c>
      <c r="T1" s="7" t="s">
        <v>176</v>
      </c>
      <c r="U1" s="7" t="s">
        <v>177</v>
      </c>
      <c r="V1" s="7" t="s">
        <v>178</v>
      </c>
      <c r="W1" s="7" t="s">
        <v>179</v>
      </c>
      <c r="X1" s="7" t="s">
        <v>180</v>
      </c>
      <c r="Y1" s="7" t="s">
        <v>181</v>
      </c>
      <c r="Z1" s="7" t="s">
        <v>182</v>
      </c>
      <c r="AA1" s="7" t="s">
        <v>183</v>
      </c>
      <c r="AB1" s="7" t="s">
        <v>184</v>
      </c>
      <c r="AC1" s="7" t="s">
        <v>185</v>
      </c>
      <c r="AD1" s="7" t="s">
        <v>186</v>
      </c>
      <c r="AE1" s="7" t="s">
        <v>187</v>
      </c>
      <c r="AF1" s="7" t="s">
        <v>188</v>
      </c>
    </row>
    <row r="2" spans="1:32">
      <c r="A2" s="7" t="s">
        <v>189</v>
      </c>
      <c r="B2" s="7" t="s">
        <v>190</v>
      </c>
      <c r="C2" s="7" t="s">
        <v>191</v>
      </c>
      <c r="D2" s="7" t="s">
        <v>192</v>
      </c>
      <c r="E2" s="7" t="s">
        <v>193</v>
      </c>
      <c r="G2" s="12" t="s">
        <v>194</v>
      </c>
      <c r="H2" s="13"/>
      <c r="I2" s="13"/>
      <c r="J2" s="14">
        <v>4250930</v>
      </c>
      <c r="K2" s="12" t="s">
        <v>195</v>
      </c>
      <c r="L2" s="12" t="s">
        <v>50</v>
      </c>
      <c r="M2" s="7">
        <v>610.79999999999995</v>
      </c>
      <c r="N2" s="7">
        <v>610.79999999999995</v>
      </c>
      <c r="O2" s="7">
        <v>0</v>
      </c>
      <c r="Q2" s="15"/>
      <c r="R2" s="7">
        <v>610.79999999999995</v>
      </c>
      <c r="Y2" s="7">
        <v>320</v>
      </c>
      <c r="Z2" s="7">
        <v>4</v>
      </c>
      <c r="AA2" s="7">
        <v>174.24</v>
      </c>
      <c r="AB2" s="7">
        <v>7.6349999999999998</v>
      </c>
      <c r="AC2" s="7">
        <v>332.5806</v>
      </c>
      <c r="AD2" s="7">
        <v>0</v>
      </c>
      <c r="AF2" s="7">
        <v>1</v>
      </c>
    </row>
    <row r="3" spans="1:32">
      <c r="A3" s="7" t="s">
        <v>189</v>
      </c>
      <c r="B3" s="7" t="s">
        <v>190</v>
      </c>
      <c r="C3" s="7" t="s">
        <v>196</v>
      </c>
      <c r="D3" s="7" t="s">
        <v>192</v>
      </c>
      <c r="E3" s="7" t="s">
        <v>193</v>
      </c>
      <c r="G3" s="12" t="s">
        <v>194</v>
      </c>
      <c r="H3" s="20" t="s">
        <v>197</v>
      </c>
      <c r="I3" s="20"/>
      <c r="J3" s="9" t="s">
        <v>121</v>
      </c>
      <c r="K3" s="12" t="s">
        <v>198</v>
      </c>
      <c r="L3" s="12" t="s">
        <v>199</v>
      </c>
      <c r="M3" s="7">
        <v>136.79999999999998</v>
      </c>
      <c r="N3" s="7">
        <v>136.79999999999998</v>
      </c>
      <c r="O3" s="7">
        <v>0</v>
      </c>
      <c r="Q3" s="11">
        <v>10</v>
      </c>
      <c r="R3" s="7">
        <v>126.79999999999998</v>
      </c>
      <c r="Y3" s="7">
        <v>32</v>
      </c>
      <c r="Z3" s="7">
        <v>1.2</v>
      </c>
      <c r="AA3" s="7">
        <v>52.271999999999998</v>
      </c>
      <c r="AB3" s="7">
        <v>4.754999999999999</v>
      </c>
      <c r="AC3" s="7">
        <v>207.12779999999998</v>
      </c>
      <c r="AD3" s="7">
        <v>7.3099415204678331E-2</v>
      </c>
      <c r="AF3" s="7">
        <f>IF(PRICING[[#This Row],[SKU]]=J2,AF2+1,1)</f>
        <v>1</v>
      </c>
    </row>
    <row r="4" spans="1:32">
      <c r="A4" s="7" t="s">
        <v>189</v>
      </c>
      <c r="B4" s="7" t="s">
        <v>200</v>
      </c>
      <c r="C4" s="7" t="s">
        <v>191</v>
      </c>
      <c r="D4" s="7" t="s">
        <v>192</v>
      </c>
      <c r="E4" s="7" t="s">
        <v>193</v>
      </c>
      <c r="F4" s="7" t="s">
        <v>201</v>
      </c>
      <c r="G4" s="12" t="s">
        <v>202</v>
      </c>
      <c r="H4" s="17">
        <v>79895402</v>
      </c>
      <c r="I4" s="17"/>
      <c r="J4" s="14" t="s">
        <v>122</v>
      </c>
      <c r="K4" s="12" t="s">
        <v>203</v>
      </c>
      <c r="L4" s="12" t="s">
        <v>204</v>
      </c>
      <c r="M4" s="21">
        <v>1267</v>
      </c>
      <c r="N4" s="21">
        <v>1267</v>
      </c>
      <c r="O4" s="21">
        <v>0</v>
      </c>
      <c r="Q4" s="15"/>
      <c r="R4" s="7">
        <v>1267</v>
      </c>
      <c r="S4" s="7">
        <v>1302.1600000000001</v>
      </c>
      <c r="T4" s="7">
        <v>1302.1600000000001</v>
      </c>
      <c r="U4" s="7">
        <v>1302.1600000000001</v>
      </c>
      <c r="V4" s="7">
        <v>1275.8499999999999</v>
      </c>
      <c r="W4" s="7">
        <v>1275.8499999999999</v>
      </c>
      <c r="X4" s="7">
        <v>1275.8499999999999</v>
      </c>
      <c r="Y4" s="7">
        <v>320</v>
      </c>
      <c r="Z4" s="7">
        <v>2</v>
      </c>
      <c r="AA4" s="7">
        <v>87.12</v>
      </c>
      <c r="AB4" s="7">
        <v>7.9187500000000002</v>
      </c>
      <c r="AC4" s="7">
        <v>344.94075000000004</v>
      </c>
      <c r="AD4" s="7">
        <v>0</v>
      </c>
      <c r="AF4" s="7">
        <f>IF(PRICING[[#This Row],[SKU]]=J3,AF3+1,1)</f>
        <v>1</v>
      </c>
    </row>
    <row r="5" spans="1:32">
      <c r="A5" s="7" t="s">
        <v>189</v>
      </c>
      <c r="B5" s="7" t="s">
        <v>200</v>
      </c>
      <c r="C5" s="7" t="s">
        <v>191</v>
      </c>
      <c r="D5" s="7" t="s">
        <v>192</v>
      </c>
      <c r="E5" s="7" t="s">
        <v>193</v>
      </c>
      <c r="F5" s="7" t="s">
        <v>201</v>
      </c>
      <c r="G5" s="12" t="s">
        <v>202</v>
      </c>
      <c r="H5" s="17">
        <v>79895402</v>
      </c>
      <c r="I5" s="17"/>
      <c r="J5" s="14" t="s">
        <v>122</v>
      </c>
      <c r="K5" s="12" t="s">
        <v>203</v>
      </c>
      <c r="L5" s="12" t="s">
        <v>204</v>
      </c>
      <c r="M5" s="21">
        <v>1267</v>
      </c>
      <c r="N5" s="21">
        <v>1267</v>
      </c>
      <c r="O5" s="21">
        <v>0</v>
      </c>
      <c r="P5" s="10" t="s">
        <v>205</v>
      </c>
      <c r="Q5" s="15">
        <v>90</v>
      </c>
      <c r="R5" s="7">
        <v>1177</v>
      </c>
      <c r="S5" s="7">
        <v>1302.1600000000001</v>
      </c>
      <c r="T5" s="7">
        <v>1302.1600000000001</v>
      </c>
      <c r="U5" s="7">
        <v>1212.1600000000001</v>
      </c>
      <c r="V5" s="7">
        <v>1275.8499999999999</v>
      </c>
      <c r="W5" s="7">
        <v>1275.8499999999999</v>
      </c>
      <c r="X5" s="7">
        <v>1185.8499999999999</v>
      </c>
      <c r="Y5" s="7">
        <v>320</v>
      </c>
      <c r="Z5" s="7">
        <v>2</v>
      </c>
      <c r="AA5" s="7">
        <v>87.12</v>
      </c>
      <c r="AB5" s="7">
        <v>7.3562500000000002</v>
      </c>
      <c r="AC5" s="7">
        <v>320.43825000000004</v>
      </c>
      <c r="AD5" s="7">
        <v>7.1033938437253363E-2</v>
      </c>
      <c r="AF5" s="7">
        <f>IF(PRICING[[#This Row],[SKU]]=J4,AF4+1,1)</f>
        <v>2</v>
      </c>
    </row>
    <row r="6" spans="1:32">
      <c r="A6" s="7" t="s">
        <v>189</v>
      </c>
      <c r="B6" s="7" t="s">
        <v>200</v>
      </c>
      <c r="C6" s="7" t="s">
        <v>206</v>
      </c>
      <c r="E6" s="7" t="s">
        <v>193</v>
      </c>
      <c r="G6" s="12" t="s">
        <v>207</v>
      </c>
      <c r="H6" s="13" t="s">
        <v>208</v>
      </c>
      <c r="I6" s="13"/>
      <c r="J6" s="9" t="s">
        <v>123</v>
      </c>
      <c r="K6" s="7" t="s">
        <v>209</v>
      </c>
      <c r="L6" s="7" t="s">
        <v>210</v>
      </c>
      <c r="M6" s="7">
        <v>250</v>
      </c>
      <c r="O6" s="7">
        <v>250</v>
      </c>
      <c r="P6" s="19" t="s">
        <v>211</v>
      </c>
      <c r="R6" s="7">
        <v>0</v>
      </c>
      <c r="AD6" s="7">
        <v>1</v>
      </c>
      <c r="AF6" s="7">
        <f>IF(PRICING[[#This Row],[SKU]]=J5,AF5+1,1)</f>
        <v>1</v>
      </c>
    </row>
    <row r="7" spans="1:32">
      <c r="A7" s="7" t="s">
        <v>189</v>
      </c>
      <c r="B7" s="7" t="s">
        <v>200</v>
      </c>
      <c r="C7" s="7" t="s">
        <v>206</v>
      </c>
      <c r="E7" s="7" t="s">
        <v>193</v>
      </c>
      <c r="G7" s="12" t="s">
        <v>207</v>
      </c>
      <c r="H7" s="13" t="s">
        <v>208</v>
      </c>
      <c r="I7" s="13"/>
      <c r="J7" s="9" t="s">
        <v>123</v>
      </c>
      <c r="K7" s="7" t="s">
        <v>209</v>
      </c>
      <c r="L7" s="7" t="s">
        <v>210</v>
      </c>
      <c r="M7" s="7">
        <v>250</v>
      </c>
      <c r="N7" s="7">
        <v>237.5</v>
      </c>
      <c r="O7" s="7">
        <v>12.5</v>
      </c>
      <c r="P7" s="10" t="s">
        <v>212</v>
      </c>
      <c r="R7" s="7">
        <v>237.5</v>
      </c>
      <c r="AF7" s="7">
        <f>IF(PRICING[[#This Row],[SKU]]=J6,AF6+1,1)</f>
        <v>2</v>
      </c>
    </row>
    <row r="8" spans="1:32">
      <c r="A8" s="7" t="s">
        <v>189</v>
      </c>
      <c r="B8" s="7" t="s">
        <v>200</v>
      </c>
      <c r="C8" s="7" t="s">
        <v>206</v>
      </c>
      <c r="E8" s="7" t="s">
        <v>193</v>
      </c>
      <c r="G8" s="12" t="s">
        <v>207</v>
      </c>
      <c r="H8" s="13" t="s">
        <v>208</v>
      </c>
      <c r="I8" s="13"/>
      <c r="J8" s="9" t="s">
        <v>123</v>
      </c>
      <c r="K8" s="7" t="s">
        <v>209</v>
      </c>
      <c r="L8" s="7" t="s">
        <v>210</v>
      </c>
      <c r="M8" s="7">
        <v>250</v>
      </c>
      <c r="N8" s="7">
        <v>225</v>
      </c>
      <c r="O8" s="7">
        <v>25</v>
      </c>
      <c r="P8" s="10" t="s">
        <v>213</v>
      </c>
      <c r="R8" s="7">
        <v>225</v>
      </c>
      <c r="AF8" s="7">
        <f>IF(PRICING[[#This Row],[SKU]]=J7,AF7+1,1)</f>
        <v>3</v>
      </c>
    </row>
    <row r="9" spans="1:32">
      <c r="A9" s="7" t="s">
        <v>189</v>
      </c>
      <c r="B9" s="7" t="s">
        <v>200</v>
      </c>
      <c r="C9" s="7" t="s">
        <v>191</v>
      </c>
      <c r="D9" s="7" t="s">
        <v>192</v>
      </c>
      <c r="E9" s="7" t="s">
        <v>193</v>
      </c>
      <c r="F9" s="7" t="s">
        <v>201</v>
      </c>
      <c r="G9" s="12" t="s">
        <v>202</v>
      </c>
      <c r="H9" s="13"/>
      <c r="I9" s="13"/>
      <c r="J9" s="14" t="s">
        <v>124</v>
      </c>
      <c r="K9" s="7" t="s">
        <v>214</v>
      </c>
      <c r="L9" s="7" t="s">
        <v>66</v>
      </c>
      <c r="M9" s="7">
        <v>2748.2</v>
      </c>
      <c r="N9" s="7">
        <v>2610.79</v>
      </c>
      <c r="O9" s="7">
        <v>137.40999999999985</v>
      </c>
      <c r="R9" s="7">
        <v>2610.79</v>
      </c>
      <c r="S9" s="7">
        <v>2824.46</v>
      </c>
      <c r="T9" s="7">
        <v>2683.24</v>
      </c>
      <c r="U9" s="7">
        <v>2683.24</v>
      </c>
      <c r="V9" s="7">
        <v>2767.44</v>
      </c>
      <c r="W9" s="7">
        <v>2629.07</v>
      </c>
      <c r="X9" s="7">
        <v>2629.07</v>
      </c>
      <c r="Y9" s="7">
        <v>128</v>
      </c>
      <c r="Z9" s="7">
        <v>0.36</v>
      </c>
      <c r="AA9" s="7">
        <v>15.6816</v>
      </c>
      <c r="AB9" s="7">
        <v>7.3428468749999993</v>
      </c>
      <c r="AC9" s="7">
        <v>319.85440987499999</v>
      </c>
      <c r="AD9" s="7">
        <v>4.9999999999999933E-2</v>
      </c>
      <c r="AF9" s="7">
        <f>IF(PRICING[[#This Row],[SKU]]=J8,AF8+1,1)</f>
        <v>1</v>
      </c>
    </row>
    <row r="10" spans="1:32">
      <c r="A10" s="7" t="s">
        <v>189</v>
      </c>
      <c r="B10" s="7" t="s">
        <v>200</v>
      </c>
      <c r="C10" s="7" t="s">
        <v>191</v>
      </c>
      <c r="D10" s="7" t="s">
        <v>192</v>
      </c>
      <c r="E10" s="7" t="s">
        <v>193</v>
      </c>
      <c r="F10" s="7" t="s">
        <v>201</v>
      </c>
      <c r="G10" s="7" t="s">
        <v>202</v>
      </c>
      <c r="J10" s="14" t="s">
        <v>124</v>
      </c>
      <c r="K10" s="7" t="s">
        <v>214</v>
      </c>
      <c r="L10" s="7" t="s">
        <v>66</v>
      </c>
      <c r="M10" s="7">
        <v>2748.2</v>
      </c>
      <c r="N10" s="7">
        <v>2610.79</v>
      </c>
      <c r="O10" s="7">
        <v>137.40999999999985</v>
      </c>
      <c r="P10" s="10" t="s">
        <v>215</v>
      </c>
      <c r="Q10" s="11">
        <v>525</v>
      </c>
      <c r="R10" s="7">
        <v>2085.79</v>
      </c>
      <c r="S10" s="7">
        <v>2824.46</v>
      </c>
      <c r="T10" s="7">
        <v>2683.24</v>
      </c>
      <c r="U10" s="7">
        <v>2158.2399999999998</v>
      </c>
      <c r="V10" s="7">
        <v>2767.44</v>
      </c>
      <c r="W10" s="7">
        <v>2629.07</v>
      </c>
      <c r="X10" s="7">
        <v>2104.0700000000002</v>
      </c>
      <c r="Y10" s="7">
        <v>128</v>
      </c>
      <c r="Z10" s="7">
        <v>0.36</v>
      </c>
      <c r="AA10" s="7">
        <v>15.6816</v>
      </c>
      <c r="AB10" s="7">
        <v>5.8662843749999993</v>
      </c>
      <c r="AC10" s="7">
        <v>255.53534737499999</v>
      </c>
      <c r="AD10" s="7">
        <v>0.24103413143148233</v>
      </c>
      <c r="AF10" s="7">
        <f>IF(PRICING[[#This Row],[SKU]]=J9,AF9+1,1)</f>
        <v>2</v>
      </c>
    </row>
    <row r="11" spans="1:32">
      <c r="A11" s="7" t="s">
        <v>189</v>
      </c>
      <c r="B11" s="7" t="s">
        <v>200</v>
      </c>
      <c r="C11" s="7" t="s">
        <v>191</v>
      </c>
      <c r="D11" s="7" t="s">
        <v>192</v>
      </c>
      <c r="E11" s="7" t="s">
        <v>193</v>
      </c>
      <c r="F11" s="7" t="s">
        <v>201</v>
      </c>
      <c r="G11" s="12" t="s">
        <v>202</v>
      </c>
      <c r="H11" s="13"/>
      <c r="I11" s="13"/>
      <c r="J11" s="9" t="s">
        <v>124</v>
      </c>
      <c r="K11" s="7" t="s">
        <v>214</v>
      </c>
      <c r="L11" s="7" t="s">
        <v>66</v>
      </c>
      <c r="M11" s="7">
        <v>2748.2</v>
      </c>
      <c r="N11" s="11">
        <v>2610.79</v>
      </c>
      <c r="O11" s="11">
        <v>137.40999999999985</v>
      </c>
      <c r="P11" s="10" t="s">
        <v>216</v>
      </c>
      <c r="Q11" s="15">
        <v>585</v>
      </c>
      <c r="R11" s="7">
        <v>2025.79</v>
      </c>
      <c r="S11" s="7">
        <v>2824.46</v>
      </c>
      <c r="T11" s="7">
        <v>2683.24</v>
      </c>
      <c r="U11" s="7">
        <v>2098.2399999999998</v>
      </c>
      <c r="V11" s="7">
        <v>2767.44</v>
      </c>
      <c r="W11" s="7">
        <v>2629.07</v>
      </c>
      <c r="X11" s="7">
        <v>2044.0700000000002</v>
      </c>
      <c r="Y11" s="7">
        <v>128</v>
      </c>
      <c r="Z11" s="7">
        <v>0.36</v>
      </c>
      <c r="AA11" s="7">
        <v>15.6816</v>
      </c>
      <c r="AB11" s="7">
        <v>5.697534375</v>
      </c>
      <c r="AC11" s="7">
        <v>248.18459737499998</v>
      </c>
      <c r="AD11" s="7">
        <v>0.26286660359508041</v>
      </c>
      <c r="AF11" s="7">
        <f>IF(PRICING[[#This Row],[SKU]]=J10,AF10+1,1)</f>
        <v>3</v>
      </c>
    </row>
    <row r="12" spans="1:32">
      <c r="A12" s="7" t="s">
        <v>189</v>
      </c>
      <c r="B12" s="7" t="s">
        <v>200</v>
      </c>
      <c r="C12" s="7" t="s">
        <v>191</v>
      </c>
      <c r="D12" s="7" t="s">
        <v>192</v>
      </c>
      <c r="E12" s="7" t="s">
        <v>193</v>
      </c>
      <c r="F12" s="7" t="s">
        <v>201</v>
      </c>
      <c r="G12" s="12" t="s">
        <v>194</v>
      </c>
      <c r="H12" s="13"/>
      <c r="I12" s="13"/>
      <c r="J12" s="9" t="s">
        <v>125</v>
      </c>
      <c r="K12" s="7" t="s">
        <v>214</v>
      </c>
      <c r="L12" s="7" t="s">
        <v>217</v>
      </c>
      <c r="M12" s="7">
        <v>428</v>
      </c>
      <c r="N12" s="11">
        <v>406.6</v>
      </c>
      <c r="O12" s="11">
        <v>21.399999999999977</v>
      </c>
      <c r="Q12" s="15"/>
      <c r="R12" s="7">
        <v>406.6</v>
      </c>
      <c r="Y12" s="7">
        <v>16</v>
      </c>
      <c r="Z12" s="7">
        <v>0.36</v>
      </c>
      <c r="AA12" s="7">
        <v>15.6816</v>
      </c>
      <c r="AB12" s="7">
        <v>9.1485000000000003</v>
      </c>
      <c r="AC12" s="7">
        <v>398.50866000000002</v>
      </c>
      <c r="AD12" s="7">
        <v>4.9999999999999933E-2</v>
      </c>
      <c r="AF12" s="7">
        <f>IF(PRICING[[#This Row],[SKU]]=J11,AF11+1,1)</f>
        <v>1</v>
      </c>
    </row>
    <row r="13" spans="1:32">
      <c r="A13" s="7" t="s">
        <v>189</v>
      </c>
      <c r="B13" s="7" t="s">
        <v>200</v>
      </c>
      <c r="C13" s="7" t="s">
        <v>191</v>
      </c>
      <c r="D13" s="7" t="s">
        <v>192</v>
      </c>
      <c r="E13" s="7" t="s">
        <v>193</v>
      </c>
      <c r="F13" s="7" t="s">
        <v>201</v>
      </c>
      <c r="G13" s="12" t="s">
        <v>194</v>
      </c>
      <c r="H13" s="17"/>
      <c r="I13" s="17"/>
      <c r="J13" s="9" t="s">
        <v>125</v>
      </c>
      <c r="K13" s="7" t="s">
        <v>214</v>
      </c>
      <c r="L13" s="7" t="s">
        <v>217</v>
      </c>
      <c r="M13" s="7">
        <v>428</v>
      </c>
      <c r="N13" s="11">
        <v>406.6</v>
      </c>
      <c r="O13" s="11">
        <v>21.399999999999977</v>
      </c>
      <c r="P13" s="10" t="s">
        <v>218</v>
      </c>
      <c r="Q13" s="15">
        <v>50</v>
      </c>
      <c r="R13" s="7">
        <v>356.6</v>
      </c>
      <c r="Y13" s="7">
        <v>16</v>
      </c>
      <c r="Z13" s="7">
        <v>0.36</v>
      </c>
      <c r="AA13" s="7">
        <v>15.6816</v>
      </c>
      <c r="AB13" s="7">
        <v>8.0235000000000003</v>
      </c>
      <c r="AC13" s="7">
        <v>349.50366000000002</v>
      </c>
      <c r="AD13" s="7">
        <v>0.16682242990654206</v>
      </c>
      <c r="AF13" s="7">
        <f>IF(PRICING[[#This Row],[SKU]]=J12,AF12+1,1)</f>
        <v>2</v>
      </c>
    </row>
    <row r="14" spans="1:32">
      <c r="A14" s="7" t="s">
        <v>189</v>
      </c>
      <c r="B14" s="7" t="s">
        <v>200</v>
      </c>
      <c r="C14" s="7" t="s">
        <v>219</v>
      </c>
      <c r="D14" s="7" t="s">
        <v>192</v>
      </c>
      <c r="E14" s="7" t="s">
        <v>193</v>
      </c>
      <c r="F14" s="7" t="s">
        <v>201</v>
      </c>
      <c r="G14" s="12" t="s">
        <v>194</v>
      </c>
      <c r="H14" s="17"/>
      <c r="I14" s="17"/>
      <c r="J14" s="9" t="s">
        <v>125</v>
      </c>
      <c r="K14" s="7" t="s">
        <v>214</v>
      </c>
      <c r="L14" s="7" t="s">
        <v>217</v>
      </c>
      <c r="M14" s="7">
        <v>428</v>
      </c>
      <c r="N14" s="11">
        <v>406.6</v>
      </c>
      <c r="O14" s="11">
        <v>21.399999999999977</v>
      </c>
      <c r="P14" s="10" t="s">
        <v>220</v>
      </c>
      <c r="Q14" s="15">
        <v>105</v>
      </c>
      <c r="R14" s="7">
        <v>301.60000000000002</v>
      </c>
      <c r="Y14" s="7">
        <v>16</v>
      </c>
      <c r="Z14" s="7">
        <v>0.36</v>
      </c>
      <c r="AA14" s="7">
        <v>15.6816</v>
      </c>
      <c r="AB14" s="7">
        <v>6.7860000000000005</v>
      </c>
      <c r="AC14" s="7">
        <v>295.59816000000001</v>
      </c>
      <c r="AD14" s="7">
        <v>0.29532710280373831</v>
      </c>
      <c r="AF14" s="7">
        <f>IF(PRICING[[#This Row],[SKU]]=J13,AF13+1,1)</f>
        <v>3</v>
      </c>
    </row>
    <row r="15" spans="1:32">
      <c r="A15" s="7" t="s">
        <v>189</v>
      </c>
      <c r="B15" s="7" t="s">
        <v>200</v>
      </c>
      <c r="C15" s="7" t="s">
        <v>191</v>
      </c>
      <c r="D15" s="7" t="s">
        <v>192</v>
      </c>
      <c r="E15" s="7" t="s">
        <v>193</v>
      </c>
      <c r="F15" s="7" t="s">
        <v>201</v>
      </c>
      <c r="G15" s="12" t="s">
        <v>202</v>
      </c>
      <c r="H15" s="13" t="s">
        <v>221</v>
      </c>
      <c r="I15" s="13"/>
      <c r="J15" s="16" t="s">
        <v>126</v>
      </c>
      <c r="K15" s="12" t="s">
        <v>222</v>
      </c>
      <c r="L15" s="12" t="s">
        <v>223</v>
      </c>
      <c r="M15" s="7">
        <v>404.8</v>
      </c>
      <c r="N15" s="7">
        <v>384.56</v>
      </c>
      <c r="O15" s="7">
        <v>20.240000000000009</v>
      </c>
      <c r="Q15" s="24">
        <v>0</v>
      </c>
      <c r="R15" s="7">
        <v>384.56</v>
      </c>
      <c r="S15" s="7">
        <v>416.03</v>
      </c>
      <c r="T15" s="7">
        <v>395.23</v>
      </c>
      <c r="U15" s="7">
        <v>395.23</v>
      </c>
      <c r="V15" s="7">
        <v>407.64</v>
      </c>
      <c r="W15" s="7">
        <v>387.25</v>
      </c>
      <c r="X15" s="7">
        <v>387.25</v>
      </c>
      <c r="Y15" s="7">
        <v>10</v>
      </c>
      <c r="Z15" s="7">
        <v>4</v>
      </c>
      <c r="AA15" s="7">
        <v>174.24</v>
      </c>
      <c r="AB15" s="7">
        <v>153.82400000000001</v>
      </c>
      <c r="AC15" s="7">
        <v>6700.573440000001</v>
      </c>
      <c r="AD15" s="7">
        <v>5.0000000000000044E-2</v>
      </c>
      <c r="AF15" s="7">
        <f>IF(PRICING[[#This Row],[SKU]]=J14,AF14+1,1)</f>
        <v>1</v>
      </c>
    </row>
    <row r="16" spans="1:32">
      <c r="A16" s="7" t="s">
        <v>189</v>
      </c>
      <c r="B16" s="7" t="s">
        <v>200</v>
      </c>
      <c r="C16" s="7" t="s">
        <v>191</v>
      </c>
      <c r="D16" s="7" t="s">
        <v>192</v>
      </c>
      <c r="E16" s="7" t="s">
        <v>193</v>
      </c>
      <c r="F16" s="7" t="s">
        <v>201</v>
      </c>
      <c r="G16" s="12" t="s">
        <v>202</v>
      </c>
      <c r="H16" s="13" t="s">
        <v>221</v>
      </c>
      <c r="I16" s="13"/>
      <c r="J16" s="16" t="s">
        <v>126</v>
      </c>
      <c r="K16" s="12" t="s">
        <v>222</v>
      </c>
      <c r="L16" s="12" t="s">
        <v>223</v>
      </c>
      <c r="M16" s="7">
        <v>404.8</v>
      </c>
      <c r="N16" s="7">
        <v>384.56</v>
      </c>
      <c r="O16" s="7">
        <v>20.240000000000009</v>
      </c>
      <c r="P16" s="10" t="s">
        <v>224</v>
      </c>
      <c r="Q16" s="24">
        <v>5</v>
      </c>
      <c r="R16" s="7">
        <v>379.56</v>
      </c>
      <c r="S16" s="7">
        <v>416.03</v>
      </c>
      <c r="T16" s="7">
        <v>395.23</v>
      </c>
      <c r="U16" s="7">
        <v>390.23</v>
      </c>
      <c r="V16" s="7">
        <v>407.64</v>
      </c>
      <c r="W16" s="7">
        <v>387.25</v>
      </c>
      <c r="X16" s="7">
        <v>382.25</v>
      </c>
      <c r="Y16" s="7">
        <v>10</v>
      </c>
      <c r="Z16" s="7">
        <v>4</v>
      </c>
      <c r="AA16" s="7">
        <v>174.24</v>
      </c>
      <c r="AB16" s="7">
        <v>151.82400000000001</v>
      </c>
      <c r="AC16" s="7">
        <v>6613.4534400000011</v>
      </c>
      <c r="AD16" s="7">
        <v>6.2351778656126511E-2</v>
      </c>
      <c r="AF16" s="7">
        <f>IF(PRICING[[#This Row],[SKU]]=J15,AF15+1,1)</f>
        <v>2</v>
      </c>
    </row>
    <row r="17" spans="1:32">
      <c r="A17" s="7" t="s">
        <v>189</v>
      </c>
      <c r="B17" s="7" t="s">
        <v>200</v>
      </c>
      <c r="C17" s="7" t="s">
        <v>191</v>
      </c>
      <c r="D17" s="7" t="s">
        <v>192</v>
      </c>
      <c r="E17" s="7" t="s">
        <v>193</v>
      </c>
      <c r="F17" s="7" t="s">
        <v>201</v>
      </c>
      <c r="G17" s="12" t="s">
        <v>202</v>
      </c>
      <c r="H17" s="13" t="s">
        <v>225</v>
      </c>
      <c r="I17" s="13" t="s">
        <v>226</v>
      </c>
      <c r="J17" s="16" t="s">
        <v>127</v>
      </c>
      <c r="K17" s="12" t="s">
        <v>227</v>
      </c>
      <c r="L17" s="12" t="s">
        <v>228</v>
      </c>
      <c r="M17" s="7">
        <v>702.8</v>
      </c>
      <c r="N17" s="7">
        <v>667.66</v>
      </c>
      <c r="O17" s="7">
        <v>35.139999999999986</v>
      </c>
      <c r="Q17" s="15"/>
      <c r="R17" s="7">
        <v>667.66</v>
      </c>
      <c r="S17" s="7" t="s">
        <v>229</v>
      </c>
      <c r="T17" s="7" t="s">
        <v>229</v>
      </c>
      <c r="U17" s="7" t="s">
        <v>229</v>
      </c>
      <c r="V17" s="7">
        <v>707.72</v>
      </c>
      <c r="W17" s="7">
        <v>672.33</v>
      </c>
      <c r="X17" s="7">
        <v>672.33</v>
      </c>
      <c r="Y17" s="7">
        <v>51</v>
      </c>
      <c r="Z17" s="7">
        <v>0.19600000000000001</v>
      </c>
      <c r="AA17" s="7">
        <v>8.5377600000000005</v>
      </c>
      <c r="AB17" s="7">
        <v>2.5659090196078429</v>
      </c>
      <c r="AC17" s="7">
        <v>111.77099689411764</v>
      </c>
      <c r="AD17" s="7">
        <v>4.9999999999999933E-2</v>
      </c>
      <c r="AF17" s="7">
        <f>IF(PRICING[[#This Row],[SKU]]=J16,AF16+1,1)</f>
        <v>1</v>
      </c>
    </row>
    <row r="18" spans="1:32">
      <c r="A18" s="7" t="s">
        <v>189</v>
      </c>
      <c r="B18" s="7" t="s">
        <v>200</v>
      </c>
      <c r="C18" s="7" t="s">
        <v>191</v>
      </c>
      <c r="D18" s="7" t="s">
        <v>192</v>
      </c>
      <c r="E18" s="7" t="s">
        <v>193</v>
      </c>
      <c r="F18" s="7" t="s">
        <v>201</v>
      </c>
      <c r="G18" s="12" t="s">
        <v>202</v>
      </c>
      <c r="H18" s="13" t="s">
        <v>225</v>
      </c>
      <c r="I18" s="13" t="s">
        <v>226</v>
      </c>
      <c r="J18" s="16" t="s">
        <v>127</v>
      </c>
      <c r="K18" s="12" t="s">
        <v>227</v>
      </c>
      <c r="L18" s="12" t="s">
        <v>228</v>
      </c>
      <c r="M18" s="7">
        <v>702.8</v>
      </c>
      <c r="N18" s="7">
        <v>667.66</v>
      </c>
      <c r="O18" s="7">
        <v>35.139999999999986</v>
      </c>
      <c r="P18" s="10" t="s">
        <v>230</v>
      </c>
      <c r="Q18" s="24">
        <v>100</v>
      </c>
      <c r="R18" s="7">
        <v>567.66</v>
      </c>
      <c r="S18" s="7" t="s">
        <v>229</v>
      </c>
      <c r="T18" s="7" t="s">
        <v>229</v>
      </c>
      <c r="U18" s="7" t="s">
        <v>229</v>
      </c>
      <c r="V18" s="7">
        <v>707.72</v>
      </c>
      <c r="W18" s="7">
        <v>672.33</v>
      </c>
      <c r="X18" s="7">
        <v>572.33000000000004</v>
      </c>
      <c r="Y18" s="7">
        <v>51</v>
      </c>
      <c r="Z18" s="7">
        <v>0.19600000000000001</v>
      </c>
      <c r="AA18" s="7">
        <v>8.5377600000000005</v>
      </c>
      <c r="AB18" s="7">
        <v>2.1815952941176473</v>
      </c>
      <c r="AC18" s="7">
        <v>95.030291011764717</v>
      </c>
      <c r="AD18" s="7">
        <v>0.19228799089356863</v>
      </c>
      <c r="AF18" s="7">
        <f>IF(PRICING[[#This Row],[SKU]]=J17,AF17+1,1)</f>
        <v>2</v>
      </c>
    </row>
    <row r="19" spans="1:32">
      <c r="A19" s="7" t="s">
        <v>189</v>
      </c>
      <c r="B19" s="7" t="s">
        <v>200</v>
      </c>
      <c r="C19" s="7" t="s">
        <v>191</v>
      </c>
      <c r="D19" s="7" t="s">
        <v>192</v>
      </c>
      <c r="E19" s="7" t="s">
        <v>193</v>
      </c>
      <c r="F19" s="7" t="s">
        <v>201</v>
      </c>
      <c r="G19" s="7" t="s">
        <v>194</v>
      </c>
      <c r="H19" s="17">
        <v>85771248</v>
      </c>
      <c r="I19" s="8" t="s">
        <v>128</v>
      </c>
      <c r="J19" s="9" t="s">
        <v>128</v>
      </c>
      <c r="K19" s="12" t="s">
        <v>231</v>
      </c>
      <c r="L19" s="12" t="s">
        <v>232</v>
      </c>
      <c r="M19" s="7">
        <v>370</v>
      </c>
      <c r="N19" s="11">
        <v>370</v>
      </c>
      <c r="O19" s="11">
        <v>0</v>
      </c>
      <c r="R19" s="7">
        <v>370</v>
      </c>
      <c r="Y19" s="7">
        <v>320</v>
      </c>
      <c r="Z19" s="7">
        <v>4</v>
      </c>
      <c r="AA19" s="7">
        <v>174.24</v>
      </c>
      <c r="AB19" s="7">
        <v>4.625</v>
      </c>
      <c r="AC19" s="7">
        <v>201.465</v>
      </c>
      <c r="AD19" s="7">
        <v>0</v>
      </c>
      <c r="AF19" s="7">
        <f>IF(PRICING[[#This Row],[SKU]]=J18,AF18+1,1)</f>
        <v>1</v>
      </c>
    </row>
    <row r="20" spans="1:32">
      <c r="A20" s="7" t="s">
        <v>189</v>
      </c>
      <c r="B20" s="7" t="s">
        <v>200</v>
      </c>
      <c r="C20" s="7" t="s">
        <v>191</v>
      </c>
      <c r="D20" s="7" t="s">
        <v>192</v>
      </c>
      <c r="E20" s="7" t="s">
        <v>193</v>
      </c>
      <c r="F20" s="7" t="s">
        <v>201</v>
      </c>
      <c r="G20" s="7" t="s">
        <v>194</v>
      </c>
      <c r="H20" s="17">
        <v>85771248</v>
      </c>
      <c r="I20" s="8" t="s">
        <v>128</v>
      </c>
      <c r="J20" s="9" t="s">
        <v>128</v>
      </c>
      <c r="K20" s="12" t="s">
        <v>231</v>
      </c>
      <c r="L20" s="12" t="s">
        <v>232</v>
      </c>
      <c r="M20" s="7">
        <v>370</v>
      </c>
      <c r="N20" s="11">
        <v>370</v>
      </c>
      <c r="O20" s="11">
        <v>0</v>
      </c>
      <c r="P20" s="10" t="s">
        <v>233</v>
      </c>
      <c r="Q20" s="11">
        <v>45</v>
      </c>
      <c r="R20" s="7">
        <v>325</v>
      </c>
      <c r="Y20" s="7">
        <v>320</v>
      </c>
      <c r="Z20" s="7">
        <v>4</v>
      </c>
      <c r="AA20" s="7">
        <v>174.24</v>
      </c>
      <c r="AB20" s="7">
        <v>4.0625</v>
      </c>
      <c r="AC20" s="7">
        <v>176.96250000000001</v>
      </c>
      <c r="AD20" s="7">
        <v>0.1216216216216216</v>
      </c>
      <c r="AF20" s="7">
        <f>IF(PRICING[[#This Row],[SKU]]=J19,AF19+1,1)</f>
        <v>2</v>
      </c>
    </row>
    <row r="21" spans="1:32">
      <c r="A21" s="7" t="s">
        <v>234</v>
      </c>
      <c r="B21" s="7" t="s">
        <v>200</v>
      </c>
      <c r="C21" s="7" t="s">
        <v>191</v>
      </c>
      <c r="D21" s="7" t="s">
        <v>192</v>
      </c>
      <c r="E21" s="7" t="s">
        <v>193</v>
      </c>
      <c r="G21" s="12" t="s">
        <v>194</v>
      </c>
      <c r="H21" s="13"/>
      <c r="I21" s="13"/>
      <c r="J21" s="16">
        <v>11008377</v>
      </c>
      <c r="K21" s="12" t="s">
        <v>235</v>
      </c>
      <c r="L21" s="12" t="s">
        <v>50</v>
      </c>
      <c r="M21" s="7">
        <v>575.4</v>
      </c>
      <c r="N21" s="7">
        <v>575.4</v>
      </c>
      <c r="O21" s="7">
        <v>0</v>
      </c>
      <c r="R21" s="7">
        <v>575.4</v>
      </c>
      <c r="Y21" s="7">
        <v>320</v>
      </c>
      <c r="Z21" s="7">
        <v>4</v>
      </c>
      <c r="AA21" s="7">
        <v>174.24</v>
      </c>
      <c r="AB21" s="7">
        <v>7.1924999999999999</v>
      </c>
      <c r="AC21" s="7">
        <v>313.30529999999999</v>
      </c>
      <c r="AD21" s="7">
        <v>0</v>
      </c>
      <c r="AF21" s="7">
        <f>IF(PRICING[[#This Row],[SKU]]=J20,AF20+1,1)</f>
        <v>1</v>
      </c>
    </row>
    <row r="22" spans="1:32">
      <c r="A22" s="7" t="s">
        <v>234</v>
      </c>
      <c r="B22" s="7" t="s">
        <v>200</v>
      </c>
      <c r="C22" s="7" t="s">
        <v>219</v>
      </c>
      <c r="D22" s="7" t="s">
        <v>192</v>
      </c>
      <c r="E22" s="7" t="s">
        <v>193</v>
      </c>
      <c r="F22" s="7" t="s">
        <v>201</v>
      </c>
      <c r="G22" s="12" t="s">
        <v>202</v>
      </c>
      <c r="H22" s="23"/>
      <c r="I22" s="25"/>
      <c r="J22" s="9">
        <v>11008557</v>
      </c>
      <c r="K22" s="7" t="s">
        <v>46</v>
      </c>
      <c r="L22" s="7" t="s">
        <v>47</v>
      </c>
      <c r="M22" s="7">
        <v>1549.45</v>
      </c>
      <c r="N22" s="7">
        <v>1471.98</v>
      </c>
      <c r="O22" s="7">
        <v>77.470000000000027</v>
      </c>
      <c r="R22" s="7">
        <v>1471.98</v>
      </c>
      <c r="S22" s="7">
        <v>1592.45</v>
      </c>
      <c r="T22" s="7">
        <v>1512.83</v>
      </c>
      <c r="U22" s="7">
        <v>1512.83</v>
      </c>
      <c r="V22" s="7">
        <v>1560.3</v>
      </c>
      <c r="W22" s="7">
        <v>1482.28</v>
      </c>
      <c r="X22" s="7">
        <v>1482.28</v>
      </c>
      <c r="Y22" s="7">
        <v>64</v>
      </c>
      <c r="Z22" s="7">
        <v>0.36</v>
      </c>
      <c r="AA22" s="7">
        <v>15.6816</v>
      </c>
      <c r="AB22" s="7">
        <v>8.2798874999999992</v>
      </c>
      <c r="AC22" s="7">
        <v>360.67189949999999</v>
      </c>
      <c r="AD22" s="7">
        <v>4.9998386524250593E-2</v>
      </c>
      <c r="AF22" s="7">
        <f>IF(PRICING[[#This Row],[SKU]]=J21,AF21+1,1)</f>
        <v>1</v>
      </c>
    </row>
    <row r="23" spans="1:32">
      <c r="A23" s="7" t="s">
        <v>234</v>
      </c>
      <c r="B23" s="7" t="s">
        <v>200</v>
      </c>
      <c r="C23" s="7" t="s">
        <v>219</v>
      </c>
      <c r="D23" s="7" t="s">
        <v>192</v>
      </c>
      <c r="E23" s="7" t="s">
        <v>193</v>
      </c>
      <c r="F23" s="7" t="s">
        <v>201</v>
      </c>
      <c r="G23" s="12" t="s">
        <v>202</v>
      </c>
      <c r="H23" s="23"/>
      <c r="I23" s="25"/>
      <c r="J23" s="9">
        <v>11008557</v>
      </c>
      <c r="K23" s="7" t="s">
        <v>46</v>
      </c>
      <c r="L23" s="7" t="s">
        <v>47</v>
      </c>
      <c r="M23" s="7">
        <v>1549.45</v>
      </c>
      <c r="N23" s="7">
        <v>1471.98</v>
      </c>
      <c r="O23" s="7">
        <v>77.470000000000027</v>
      </c>
      <c r="P23" s="19" t="s">
        <v>218</v>
      </c>
      <c r="Q23" s="11">
        <v>410</v>
      </c>
      <c r="R23" s="7">
        <v>1061.98</v>
      </c>
      <c r="S23" s="7">
        <v>1592.45</v>
      </c>
      <c r="T23" s="7">
        <v>1512.83</v>
      </c>
      <c r="U23" s="7">
        <v>1102.83</v>
      </c>
      <c r="V23" s="7">
        <v>1560.3</v>
      </c>
      <c r="W23" s="7">
        <v>1482.28</v>
      </c>
      <c r="X23" s="7">
        <v>1072.28</v>
      </c>
      <c r="Y23" s="7">
        <v>64</v>
      </c>
      <c r="Z23" s="7">
        <v>0.36</v>
      </c>
      <c r="AA23" s="7">
        <v>15.6816</v>
      </c>
      <c r="AB23" s="7">
        <v>5.9736374999999997</v>
      </c>
      <c r="AC23" s="7">
        <v>260.21164950000002</v>
      </c>
      <c r="AD23" s="7">
        <v>0.3146084094356062</v>
      </c>
      <c r="AF23" s="7">
        <f>IF(PRICING[[#This Row],[SKU]]=J22,AF22+1,1)</f>
        <v>2</v>
      </c>
    </row>
    <row r="24" spans="1:32">
      <c r="A24" s="7" t="s">
        <v>234</v>
      </c>
      <c r="B24" s="7" t="s">
        <v>200</v>
      </c>
      <c r="C24" s="7" t="s">
        <v>219</v>
      </c>
      <c r="D24" s="7" t="s">
        <v>192</v>
      </c>
      <c r="E24" s="7" t="s">
        <v>193</v>
      </c>
      <c r="F24" s="7" t="s">
        <v>201</v>
      </c>
      <c r="G24" s="12" t="s">
        <v>202</v>
      </c>
      <c r="H24" s="23"/>
      <c r="I24" s="25"/>
      <c r="J24" s="9">
        <v>11009500</v>
      </c>
      <c r="K24" s="7" t="s">
        <v>46</v>
      </c>
      <c r="L24" s="7" t="s">
        <v>50</v>
      </c>
      <c r="M24" s="7">
        <v>6863.6</v>
      </c>
      <c r="N24" s="7">
        <v>6520.42</v>
      </c>
      <c r="O24" s="7">
        <v>343.18000000000029</v>
      </c>
      <c r="R24" s="7">
        <v>6520.42</v>
      </c>
      <c r="S24" s="7">
        <v>7054.06</v>
      </c>
      <c r="T24" s="7">
        <v>6701.36</v>
      </c>
      <c r="U24" s="7">
        <v>6701.36</v>
      </c>
      <c r="V24" s="7">
        <v>6911.64</v>
      </c>
      <c r="W24" s="7">
        <v>6566.06</v>
      </c>
      <c r="X24" s="7">
        <v>6566.06</v>
      </c>
      <c r="Y24" s="7">
        <v>320</v>
      </c>
      <c r="Z24" s="7">
        <v>0.36</v>
      </c>
      <c r="AA24" s="7">
        <v>15.6816</v>
      </c>
      <c r="AB24" s="7">
        <v>7.3354724999999998</v>
      </c>
      <c r="AC24" s="7">
        <v>319.53318210000003</v>
      </c>
      <c r="AD24" s="7">
        <v>5.0000000000000044E-2</v>
      </c>
      <c r="AF24" s="7">
        <f>IF(PRICING[[#This Row],[SKU]]=J23,AF23+1,1)</f>
        <v>1</v>
      </c>
    </row>
    <row r="25" spans="1:32">
      <c r="A25" s="7" t="s">
        <v>234</v>
      </c>
      <c r="B25" s="7" t="s">
        <v>200</v>
      </c>
      <c r="C25" s="7" t="s">
        <v>219</v>
      </c>
      <c r="D25" s="7" t="s">
        <v>192</v>
      </c>
      <c r="E25" s="7" t="s">
        <v>193</v>
      </c>
      <c r="F25" s="7" t="s">
        <v>201</v>
      </c>
      <c r="G25" s="12" t="s">
        <v>202</v>
      </c>
      <c r="H25" s="13"/>
      <c r="I25" s="13"/>
      <c r="J25" s="9">
        <v>11009500</v>
      </c>
      <c r="K25" s="7" t="s">
        <v>46</v>
      </c>
      <c r="L25" s="7" t="s">
        <v>50</v>
      </c>
      <c r="M25" s="27">
        <v>6863.6</v>
      </c>
      <c r="N25" s="21">
        <v>6520.42</v>
      </c>
      <c r="O25" s="21">
        <v>343.18000000000029</v>
      </c>
      <c r="P25" s="10" t="s">
        <v>236</v>
      </c>
      <c r="Q25" s="11">
        <v>1450</v>
      </c>
      <c r="R25" s="7">
        <v>5070.42</v>
      </c>
      <c r="S25" s="7">
        <v>7054.06</v>
      </c>
      <c r="T25" s="7">
        <v>6701.36</v>
      </c>
      <c r="U25" s="7">
        <v>5251.36</v>
      </c>
      <c r="V25" s="7">
        <v>6911.64</v>
      </c>
      <c r="W25" s="7">
        <v>6566.06</v>
      </c>
      <c r="X25" s="7">
        <v>5116.0600000000004</v>
      </c>
      <c r="Y25" s="7">
        <v>320</v>
      </c>
      <c r="Z25" s="7">
        <v>0.36</v>
      </c>
      <c r="AA25" s="7">
        <v>15.6816</v>
      </c>
      <c r="AB25" s="7">
        <v>5.7042225000000002</v>
      </c>
      <c r="AC25" s="7">
        <v>248.47593209999999</v>
      </c>
      <c r="AD25" s="7">
        <v>0.26125939740078097</v>
      </c>
      <c r="AF25" s="7">
        <f>IF(PRICING[[#This Row],[SKU]]=J24,AF24+1,1)</f>
        <v>2</v>
      </c>
    </row>
    <row r="26" spans="1:32">
      <c r="A26" s="7" t="s">
        <v>234</v>
      </c>
      <c r="B26" s="7" t="s">
        <v>200</v>
      </c>
      <c r="C26" s="7" t="s">
        <v>219</v>
      </c>
      <c r="D26" s="7" t="s">
        <v>192</v>
      </c>
      <c r="E26" s="7" t="s">
        <v>193</v>
      </c>
      <c r="F26" s="7" t="s">
        <v>201</v>
      </c>
      <c r="G26" s="12" t="s">
        <v>202</v>
      </c>
      <c r="H26" s="13"/>
      <c r="I26" s="13"/>
      <c r="J26" s="9">
        <v>11009500</v>
      </c>
      <c r="K26" s="7" t="s">
        <v>46</v>
      </c>
      <c r="L26" s="7" t="s">
        <v>50</v>
      </c>
      <c r="M26" s="27">
        <v>6863.6</v>
      </c>
      <c r="N26" s="21">
        <v>6520.42</v>
      </c>
      <c r="O26" s="21">
        <v>343.18000000000029</v>
      </c>
      <c r="P26" s="10" t="s">
        <v>218</v>
      </c>
      <c r="Q26" s="11">
        <v>1600</v>
      </c>
      <c r="R26" s="7">
        <v>4920.42</v>
      </c>
      <c r="S26" s="7">
        <v>7054.06</v>
      </c>
      <c r="T26" s="7">
        <v>6701.36</v>
      </c>
      <c r="U26" s="7">
        <v>5101.3599999999997</v>
      </c>
      <c r="V26" s="7">
        <v>6911.64</v>
      </c>
      <c r="W26" s="7">
        <v>6566.06</v>
      </c>
      <c r="X26" s="7">
        <v>4966.0600000000004</v>
      </c>
      <c r="Y26" s="7">
        <v>320</v>
      </c>
      <c r="Z26" s="7">
        <v>0.36</v>
      </c>
      <c r="AA26" s="7">
        <v>15.6816</v>
      </c>
      <c r="AB26" s="7">
        <v>5.5354725</v>
      </c>
      <c r="AC26" s="7">
        <v>241.12518210000002</v>
      </c>
      <c r="AD26" s="7">
        <v>0.28311381782155143</v>
      </c>
      <c r="AF26" s="7">
        <f>IF(PRICING[[#This Row],[SKU]]=J25,AF25+1,1)</f>
        <v>3</v>
      </c>
    </row>
    <row r="27" spans="1:32">
      <c r="A27" s="7" t="s">
        <v>234</v>
      </c>
      <c r="B27" s="7" t="s">
        <v>200</v>
      </c>
      <c r="C27" s="7" t="s">
        <v>191</v>
      </c>
      <c r="D27" s="7" t="s">
        <v>192</v>
      </c>
      <c r="E27" s="7" t="s">
        <v>193</v>
      </c>
      <c r="F27" s="7" t="s">
        <v>201</v>
      </c>
      <c r="G27" s="12" t="s">
        <v>194</v>
      </c>
      <c r="H27" s="13"/>
      <c r="I27" s="13"/>
      <c r="J27" s="9">
        <v>11008393</v>
      </c>
      <c r="K27" s="7" t="s">
        <v>46</v>
      </c>
      <c r="L27" s="7" t="s">
        <v>217</v>
      </c>
      <c r="M27" s="21">
        <v>428</v>
      </c>
      <c r="N27" s="21">
        <v>406.6</v>
      </c>
      <c r="O27" s="21">
        <v>21.399999999999977</v>
      </c>
      <c r="R27" s="7">
        <v>406.6</v>
      </c>
      <c r="Y27" s="7">
        <v>16</v>
      </c>
      <c r="Z27" s="7">
        <v>0.36</v>
      </c>
      <c r="AA27" s="7">
        <v>15.6816</v>
      </c>
      <c r="AB27" s="7">
        <v>9.1485000000000003</v>
      </c>
      <c r="AC27" s="7">
        <v>398.50866000000002</v>
      </c>
      <c r="AD27" s="7">
        <v>4.9999999999999933E-2</v>
      </c>
      <c r="AF27" s="7">
        <f>IF(PRICING[[#This Row],[SKU]]=J26,AF26+1,1)</f>
        <v>1</v>
      </c>
    </row>
    <row r="28" spans="1:32">
      <c r="A28" s="7" t="s">
        <v>234</v>
      </c>
      <c r="B28" s="7" t="s">
        <v>190</v>
      </c>
      <c r="C28" s="7" t="s">
        <v>191</v>
      </c>
      <c r="D28" s="7" t="s">
        <v>192</v>
      </c>
      <c r="E28" s="7" t="s">
        <v>193</v>
      </c>
      <c r="F28" s="7" t="s">
        <v>201</v>
      </c>
      <c r="G28" s="12" t="s">
        <v>194</v>
      </c>
      <c r="H28" s="13"/>
      <c r="I28" s="13"/>
      <c r="J28" s="9">
        <v>11008393</v>
      </c>
      <c r="K28" s="7" t="s">
        <v>46</v>
      </c>
      <c r="L28" s="7" t="s">
        <v>217</v>
      </c>
      <c r="M28" s="21">
        <v>428</v>
      </c>
      <c r="N28" s="21">
        <v>406.6</v>
      </c>
      <c r="O28" s="21">
        <v>21.399999999999977</v>
      </c>
      <c r="P28" s="10" t="s">
        <v>218</v>
      </c>
      <c r="Q28" s="11">
        <v>50</v>
      </c>
      <c r="R28" s="7">
        <v>356.6</v>
      </c>
      <c r="Y28" s="7">
        <v>16</v>
      </c>
      <c r="Z28" s="7">
        <v>0.36</v>
      </c>
      <c r="AA28" s="7">
        <v>15.6816</v>
      </c>
      <c r="AB28" s="7">
        <v>8.0235000000000003</v>
      </c>
      <c r="AC28" s="7">
        <v>349.50366000000002</v>
      </c>
      <c r="AD28" s="7">
        <v>0.16682242990654206</v>
      </c>
      <c r="AF28" s="7">
        <f>IF(PRICING[[#This Row],[SKU]]=J27,AF27+1,1)</f>
        <v>2</v>
      </c>
    </row>
    <row r="29" spans="1:32">
      <c r="A29" s="7" t="s">
        <v>234</v>
      </c>
      <c r="B29" s="7" t="s">
        <v>190</v>
      </c>
      <c r="C29" s="7" t="s">
        <v>191</v>
      </c>
      <c r="D29" s="7" t="s">
        <v>192</v>
      </c>
      <c r="E29" s="7" t="s">
        <v>193</v>
      </c>
      <c r="F29" s="7" t="s">
        <v>201</v>
      </c>
      <c r="G29" s="12" t="s">
        <v>194</v>
      </c>
      <c r="H29" s="28"/>
      <c r="I29" s="13"/>
      <c r="J29" s="16">
        <v>11008393</v>
      </c>
      <c r="K29" s="12" t="s">
        <v>46</v>
      </c>
      <c r="L29" s="12" t="s">
        <v>217</v>
      </c>
      <c r="M29" s="7">
        <v>428</v>
      </c>
      <c r="N29" s="7">
        <v>406.6</v>
      </c>
      <c r="O29" s="7">
        <v>21.399999999999977</v>
      </c>
      <c r="P29" s="10" t="s">
        <v>220</v>
      </c>
      <c r="Q29" s="15">
        <v>105</v>
      </c>
      <c r="R29" s="7">
        <v>301.60000000000002</v>
      </c>
      <c r="Y29" s="7">
        <v>16</v>
      </c>
      <c r="Z29" s="7">
        <v>0.36</v>
      </c>
      <c r="AA29" s="7">
        <v>15.6816</v>
      </c>
      <c r="AB29" s="7">
        <v>6.7860000000000005</v>
      </c>
      <c r="AC29" s="7">
        <v>295.59816000000001</v>
      </c>
      <c r="AD29" s="7">
        <v>0.29532710280373831</v>
      </c>
      <c r="AF29" s="7">
        <f>IF(PRICING[[#This Row],[SKU]]=J28,AF28+1,1)</f>
        <v>3</v>
      </c>
    </row>
    <row r="30" spans="1:32">
      <c r="A30" s="7" t="s">
        <v>189</v>
      </c>
      <c r="B30" s="7" t="s">
        <v>200</v>
      </c>
      <c r="C30" s="7" t="s">
        <v>191</v>
      </c>
      <c r="D30" s="7" t="s">
        <v>192</v>
      </c>
      <c r="E30" s="7" t="s">
        <v>193</v>
      </c>
      <c r="F30" s="7" t="s">
        <v>201</v>
      </c>
      <c r="G30" s="7" t="s">
        <v>194</v>
      </c>
      <c r="H30" s="29" t="s">
        <v>237</v>
      </c>
      <c r="J30" s="9" t="s">
        <v>129</v>
      </c>
      <c r="K30" s="7" t="s">
        <v>238</v>
      </c>
      <c r="L30" s="7" t="s">
        <v>232</v>
      </c>
      <c r="M30" s="21">
        <v>192</v>
      </c>
      <c r="N30" s="21">
        <v>192</v>
      </c>
      <c r="O30" s="21">
        <v>0</v>
      </c>
      <c r="R30" s="7">
        <v>192</v>
      </c>
      <c r="Y30" s="7">
        <v>320</v>
      </c>
      <c r="Z30" s="7">
        <v>3</v>
      </c>
      <c r="AA30" s="7">
        <v>130.68</v>
      </c>
      <c r="AB30" s="7">
        <v>1.7999999999999998</v>
      </c>
      <c r="AC30" s="7">
        <v>78.408000000000001</v>
      </c>
      <c r="AD30" s="7">
        <v>0</v>
      </c>
      <c r="AF30" s="7">
        <f>IF(PRICING[[#This Row],[SKU]]=J29,AF29+1,1)</f>
        <v>1</v>
      </c>
    </row>
    <row r="31" spans="1:32">
      <c r="A31" s="7" t="s">
        <v>189</v>
      </c>
      <c r="B31" s="7" t="s">
        <v>200</v>
      </c>
      <c r="C31" s="7" t="s">
        <v>191</v>
      </c>
      <c r="D31" s="7" t="s">
        <v>192</v>
      </c>
      <c r="E31" s="7" t="s">
        <v>193</v>
      </c>
      <c r="F31" s="7" t="s">
        <v>201</v>
      </c>
      <c r="G31" s="7" t="s">
        <v>194</v>
      </c>
      <c r="H31" s="29" t="s">
        <v>237</v>
      </c>
      <c r="J31" s="9" t="s">
        <v>129</v>
      </c>
      <c r="K31" s="7" t="s">
        <v>238</v>
      </c>
      <c r="L31" s="7" t="s">
        <v>232</v>
      </c>
      <c r="M31" s="21">
        <v>192</v>
      </c>
      <c r="N31" s="21">
        <v>192</v>
      </c>
      <c r="O31" s="21">
        <v>0</v>
      </c>
      <c r="P31" s="10" t="s">
        <v>239</v>
      </c>
      <c r="Q31" s="11">
        <v>10</v>
      </c>
      <c r="R31" s="7">
        <v>182</v>
      </c>
      <c r="Y31" s="7">
        <v>320</v>
      </c>
      <c r="Z31" s="7">
        <v>3</v>
      </c>
      <c r="AA31" s="7">
        <v>130.68</v>
      </c>
      <c r="AB31" s="7">
        <v>1.7062499999999998</v>
      </c>
      <c r="AC31" s="7">
        <v>74.324250000000006</v>
      </c>
      <c r="AD31" s="7">
        <v>5.208333333333337E-2</v>
      </c>
      <c r="AF31" s="7">
        <f>IF(PRICING[[#This Row],[SKU]]=J30,AF30+1,1)</f>
        <v>2</v>
      </c>
    </row>
    <row r="32" spans="1:32">
      <c r="A32" s="7" t="s">
        <v>189</v>
      </c>
      <c r="B32" s="7" t="s">
        <v>200</v>
      </c>
      <c r="C32" s="7" t="s">
        <v>191</v>
      </c>
      <c r="D32" s="7" t="s">
        <v>192</v>
      </c>
      <c r="E32" s="7" t="s">
        <v>193</v>
      </c>
      <c r="F32" s="7" t="s">
        <v>201</v>
      </c>
      <c r="G32" s="12" t="s">
        <v>202</v>
      </c>
      <c r="H32" s="13" t="s">
        <v>240</v>
      </c>
      <c r="I32" s="13" t="s">
        <v>241</v>
      </c>
      <c r="J32" s="16" t="s">
        <v>130</v>
      </c>
      <c r="K32" s="12" t="s">
        <v>242</v>
      </c>
      <c r="L32" s="12" t="s">
        <v>243</v>
      </c>
      <c r="M32" s="7">
        <v>1963.6</v>
      </c>
      <c r="N32" s="7">
        <v>1865.42</v>
      </c>
      <c r="O32" s="7">
        <v>98.179999999999836</v>
      </c>
      <c r="Q32" s="24"/>
      <c r="R32" s="7">
        <v>1865.42</v>
      </c>
      <c r="S32" s="7">
        <v>2018.09</v>
      </c>
      <c r="T32" s="7">
        <v>1917.19</v>
      </c>
      <c r="U32" s="7">
        <v>1917.19</v>
      </c>
      <c r="V32" s="7">
        <v>1977.34</v>
      </c>
      <c r="W32" s="7">
        <v>1878.48</v>
      </c>
      <c r="X32" s="7">
        <v>1878.48</v>
      </c>
      <c r="Y32" s="7">
        <v>17.100000000000001</v>
      </c>
      <c r="Z32" s="7">
        <v>0.39</v>
      </c>
      <c r="AA32" s="7">
        <v>16.988400000000002</v>
      </c>
      <c r="AB32" s="7">
        <v>42.544666666666672</v>
      </c>
      <c r="AC32" s="7">
        <v>1853.2456800000002</v>
      </c>
      <c r="AD32" s="7">
        <v>4.9999999999999933E-2</v>
      </c>
      <c r="AF32" s="7">
        <f>IF(PRICING[[#This Row],[SKU]]=J31,AF31+1,1)</f>
        <v>1</v>
      </c>
    </row>
    <row r="33" spans="1:32">
      <c r="A33" s="7" t="s">
        <v>189</v>
      </c>
      <c r="B33" s="7" t="s">
        <v>200</v>
      </c>
      <c r="C33" s="7" t="s">
        <v>191</v>
      </c>
      <c r="D33" s="7" t="s">
        <v>192</v>
      </c>
      <c r="E33" s="7" t="s">
        <v>193</v>
      </c>
      <c r="F33" s="7" t="s">
        <v>201</v>
      </c>
      <c r="G33" s="12" t="s">
        <v>202</v>
      </c>
      <c r="H33" s="13" t="s">
        <v>240</v>
      </c>
      <c r="I33" s="13" t="s">
        <v>241</v>
      </c>
      <c r="J33" s="9" t="s">
        <v>130</v>
      </c>
      <c r="K33" s="7" t="s">
        <v>242</v>
      </c>
      <c r="L33" s="7" t="s">
        <v>243</v>
      </c>
      <c r="M33" s="21">
        <v>1963.6</v>
      </c>
      <c r="N33" s="21">
        <v>1865.42</v>
      </c>
      <c r="O33" s="21">
        <v>98.179999999999836</v>
      </c>
      <c r="P33" s="10" t="s">
        <v>244</v>
      </c>
      <c r="Q33" s="11">
        <v>185</v>
      </c>
      <c r="R33" s="7">
        <v>1680.42</v>
      </c>
      <c r="S33" s="7">
        <v>2018.09</v>
      </c>
      <c r="T33" s="7">
        <v>1917.19</v>
      </c>
      <c r="U33" s="7">
        <v>1732.19</v>
      </c>
      <c r="V33" s="7">
        <v>1977.34</v>
      </c>
      <c r="W33" s="7">
        <v>1878.48</v>
      </c>
      <c r="X33" s="7">
        <v>1693.48</v>
      </c>
      <c r="Y33" s="7">
        <v>17.100000000000001</v>
      </c>
      <c r="Z33" s="7">
        <v>0.39</v>
      </c>
      <c r="AA33" s="7">
        <v>16.988400000000002</v>
      </c>
      <c r="AB33" s="7">
        <v>38.32536842105263</v>
      </c>
      <c r="AC33" s="7">
        <v>1669.4530484210527</v>
      </c>
      <c r="AD33" s="7">
        <v>0.14421470767977174</v>
      </c>
      <c r="AF33" s="7">
        <f>IF(PRICING[[#This Row],[SKU]]=J32,AF32+1,1)</f>
        <v>2</v>
      </c>
    </row>
    <row r="34" spans="1:32">
      <c r="A34" s="7" t="s">
        <v>189</v>
      </c>
      <c r="B34" s="7" t="s">
        <v>200</v>
      </c>
      <c r="C34" s="7" t="s">
        <v>191</v>
      </c>
      <c r="D34" s="7" t="s">
        <v>192</v>
      </c>
      <c r="E34" s="7" t="s">
        <v>193</v>
      </c>
      <c r="F34" s="7" t="s">
        <v>201</v>
      </c>
      <c r="G34" s="12" t="s">
        <v>202</v>
      </c>
      <c r="H34" s="13" t="s">
        <v>240</v>
      </c>
      <c r="I34" s="13" t="s">
        <v>241</v>
      </c>
      <c r="J34" s="16" t="s">
        <v>130</v>
      </c>
      <c r="K34" s="7" t="s">
        <v>242</v>
      </c>
      <c r="L34" s="7" t="s">
        <v>243</v>
      </c>
      <c r="M34" s="21">
        <v>1963.6</v>
      </c>
      <c r="N34" s="21">
        <v>1865.42</v>
      </c>
      <c r="O34" s="21">
        <v>98.179999999999836</v>
      </c>
      <c r="P34" s="10" t="s">
        <v>233</v>
      </c>
      <c r="Q34" s="11">
        <v>410</v>
      </c>
      <c r="R34" s="7">
        <v>1455.42</v>
      </c>
      <c r="S34" s="7">
        <v>2018.09</v>
      </c>
      <c r="T34" s="7">
        <v>1917.19</v>
      </c>
      <c r="U34" s="7">
        <v>1507.19</v>
      </c>
      <c r="V34" s="7">
        <v>1977.34</v>
      </c>
      <c r="W34" s="7">
        <v>1878.48</v>
      </c>
      <c r="X34" s="7">
        <v>1468.48</v>
      </c>
      <c r="Y34" s="7">
        <v>17.100000000000001</v>
      </c>
      <c r="Z34" s="7">
        <v>0.39</v>
      </c>
      <c r="AA34" s="7">
        <v>16.988400000000002</v>
      </c>
      <c r="AB34" s="7">
        <v>33.193789473684213</v>
      </c>
      <c r="AC34" s="7">
        <v>1445.9214694736845</v>
      </c>
      <c r="AD34" s="7">
        <v>0.25880016296598074</v>
      </c>
      <c r="AF34" s="7">
        <f>IF(PRICING[[#This Row],[SKU]]=J33,AF33+1,1)</f>
        <v>3</v>
      </c>
    </row>
    <row r="35" spans="1:32">
      <c r="A35" s="7" t="s">
        <v>189</v>
      </c>
      <c r="B35" s="7" t="s">
        <v>200</v>
      </c>
      <c r="C35" s="7" t="s">
        <v>191</v>
      </c>
      <c r="D35" s="7" t="s">
        <v>192</v>
      </c>
      <c r="E35" s="7" t="s">
        <v>193</v>
      </c>
      <c r="F35" s="7" t="s">
        <v>201</v>
      </c>
      <c r="G35" s="12" t="s">
        <v>202</v>
      </c>
      <c r="H35" s="13"/>
      <c r="I35" s="13"/>
      <c r="J35" s="9">
        <v>81701245</v>
      </c>
      <c r="K35" s="7" t="s">
        <v>245</v>
      </c>
      <c r="L35" s="7" t="s">
        <v>50</v>
      </c>
      <c r="M35" s="21">
        <v>573</v>
      </c>
      <c r="N35" s="21">
        <v>544.35</v>
      </c>
      <c r="O35" s="21">
        <v>28.649999999999977</v>
      </c>
      <c r="R35" s="7">
        <v>544.35</v>
      </c>
      <c r="S35" s="7">
        <v>588.9</v>
      </c>
      <c r="T35" s="7">
        <v>559.46</v>
      </c>
      <c r="U35" s="7">
        <v>559.46</v>
      </c>
      <c r="V35" s="7">
        <v>577</v>
      </c>
      <c r="W35" s="7">
        <v>548.16</v>
      </c>
      <c r="X35" s="7">
        <v>548.16</v>
      </c>
      <c r="Y35" s="7">
        <v>320</v>
      </c>
      <c r="Z35" s="7">
        <v>4</v>
      </c>
      <c r="AA35" s="7">
        <v>174.24</v>
      </c>
      <c r="AB35" s="7">
        <v>6.8043750000000003</v>
      </c>
      <c r="AC35" s="7">
        <v>296.39857500000005</v>
      </c>
      <c r="AD35" s="7">
        <v>4.9999999999999933E-2</v>
      </c>
      <c r="AF35" s="7">
        <f>IF(PRICING[[#This Row],[SKU]]=J34,AF34+1,1)</f>
        <v>1</v>
      </c>
    </row>
    <row r="36" spans="1:32">
      <c r="A36" s="7" t="s">
        <v>189</v>
      </c>
      <c r="B36" s="7" t="s">
        <v>200</v>
      </c>
      <c r="C36" s="7" t="s">
        <v>191</v>
      </c>
      <c r="D36" s="7" t="s">
        <v>192</v>
      </c>
      <c r="E36" s="7" t="s">
        <v>193</v>
      </c>
      <c r="F36" s="7" t="s">
        <v>201</v>
      </c>
      <c r="G36" s="12" t="s">
        <v>202</v>
      </c>
      <c r="H36" s="13"/>
      <c r="I36" s="13"/>
      <c r="J36" s="9">
        <v>81701245</v>
      </c>
      <c r="K36" s="7" t="s">
        <v>245</v>
      </c>
      <c r="L36" s="7" t="s">
        <v>50</v>
      </c>
      <c r="M36" s="21">
        <v>573</v>
      </c>
      <c r="N36" s="21">
        <v>544.35</v>
      </c>
      <c r="O36" s="21">
        <v>28.649999999999977</v>
      </c>
      <c r="P36" s="19" t="s">
        <v>233</v>
      </c>
      <c r="Q36" s="11">
        <v>90</v>
      </c>
      <c r="R36" s="7">
        <v>454.35</v>
      </c>
      <c r="S36" s="7">
        <v>588.9</v>
      </c>
      <c r="T36" s="7">
        <v>559.46</v>
      </c>
      <c r="U36" s="7">
        <v>469.46000000000004</v>
      </c>
      <c r="V36" s="7">
        <v>577</v>
      </c>
      <c r="W36" s="7">
        <v>548.16</v>
      </c>
      <c r="X36" s="7">
        <v>458.15999999999997</v>
      </c>
      <c r="Y36" s="7">
        <v>320</v>
      </c>
      <c r="Z36" s="7">
        <v>4</v>
      </c>
      <c r="AA36" s="7">
        <v>174.24</v>
      </c>
      <c r="AB36" s="7">
        <v>5.6793750000000003</v>
      </c>
      <c r="AC36" s="7">
        <v>247.39357500000003</v>
      </c>
      <c r="AD36" s="7">
        <v>0.20706806282722512</v>
      </c>
      <c r="AF36" s="7">
        <f>IF(PRICING[[#This Row],[SKU]]=J35,AF35+1,1)</f>
        <v>2</v>
      </c>
    </row>
    <row r="37" spans="1:32">
      <c r="A37" s="7" t="s">
        <v>234</v>
      </c>
      <c r="B37" s="7" t="s">
        <v>200</v>
      </c>
      <c r="C37" s="7" t="s">
        <v>191</v>
      </c>
      <c r="D37" s="7" t="s">
        <v>192</v>
      </c>
      <c r="E37" s="7" t="s">
        <v>193</v>
      </c>
      <c r="F37" s="7" t="s">
        <v>201</v>
      </c>
      <c r="G37" s="12" t="s">
        <v>194</v>
      </c>
      <c r="H37" s="13"/>
      <c r="I37" s="13"/>
      <c r="J37" s="9">
        <v>11013671</v>
      </c>
      <c r="K37" s="7" t="s">
        <v>246</v>
      </c>
      <c r="L37" s="7" t="s">
        <v>47</v>
      </c>
      <c r="M37" s="21">
        <v>866.4</v>
      </c>
      <c r="N37" s="21">
        <v>866.4</v>
      </c>
      <c r="O37" s="21">
        <v>0</v>
      </c>
      <c r="R37" s="7">
        <v>866.4</v>
      </c>
      <c r="Y37" s="7">
        <v>64</v>
      </c>
      <c r="Z37" s="7">
        <v>0.4</v>
      </c>
      <c r="AA37" s="7">
        <v>17.424000000000003</v>
      </c>
      <c r="AB37" s="7">
        <v>5.415</v>
      </c>
      <c r="AC37" s="7">
        <v>235.87740000000002</v>
      </c>
      <c r="AD37" s="7">
        <v>0</v>
      </c>
      <c r="AF37" s="7">
        <f>IF(PRICING[[#This Row],[SKU]]=J36,AF36+1,1)</f>
        <v>1</v>
      </c>
    </row>
    <row r="38" spans="1:32">
      <c r="A38" s="7" t="s">
        <v>234</v>
      </c>
      <c r="B38" s="7" t="s">
        <v>200</v>
      </c>
      <c r="C38" s="7" t="s">
        <v>191</v>
      </c>
      <c r="D38" s="7" t="s">
        <v>192</v>
      </c>
      <c r="E38" s="7" t="s">
        <v>193</v>
      </c>
      <c r="F38" s="7" t="s">
        <v>201</v>
      </c>
      <c r="G38" s="12" t="s">
        <v>194</v>
      </c>
      <c r="H38" s="13"/>
      <c r="I38" s="13"/>
      <c r="J38" s="9">
        <v>11013671</v>
      </c>
      <c r="K38" s="7" t="s">
        <v>246</v>
      </c>
      <c r="L38" s="7" t="s">
        <v>47</v>
      </c>
      <c r="M38" s="21">
        <v>866.4</v>
      </c>
      <c r="N38" s="11">
        <v>866.4</v>
      </c>
      <c r="O38" s="11">
        <v>0</v>
      </c>
      <c r="P38" s="10" t="s">
        <v>218</v>
      </c>
      <c r="Q38" s="15">
        <v>295</v>
      </c>
      <c r="R38" s="7">
        <v>571.4</v>
      </c>
      <c r="Y38" s="7">
        <v>64</v>
      </c>
      <c r="Z38" s="7">
        <v>0.4</v>
      </c>
      <c r="AA38" s="7">
        <v>17.424000000000003</v>
      </c>
      <c r="AB38" s="7">
        <v>3.57125</v>
      </c>
      <c r="AC38" s="7">
        <v>155.56365000000002</v>
      </c>
      <c r="AD38" s="7">
        <v>0.34048938134810713</v>
      </c>
      <c r="AF38" s="7">
        <f>IF(PRICING[[#This Row],[SKU]]=J37,AF37+1,1)</f>
        <v>2</v>
      </c>
    </row>
    <row r="39" spans="1:32">
      <c r="A39" s="7" t="s">
        <v>189</v>
      </c>
      <c r="B39" s="7" t="s">
        <v>200</v>
      </c>
      <c r="C39" s="7" t="s">
        <v>191</v>
      </c>
      <c r="D39" s="7" t="s">
        <v>192</v>
      </c>
      <c r="E39" s="7" t="s">
        <v>193</v>
      </c>
      <c r="F39" s="7" t="s">
        <v>201</v>
      </c>
      <c r="G39" s="12" t="s">
        <v>202</v>
      </c>
      <c r="H39" s="13" t="s">
        <v>247</v>
      </c>
      <c r="I39" s="13"/>
      <c r="J39" s="9" t="s">
        <v>131</v>
      </c>
      <c r="K39" s="7" t="s">
        <v>248</v>
      </c>
      <c r="L39" s="7" t="s">
        <v>50</v>
      </c>
      <c r="M39" s="7">
        <v>493</v>
      </c>
      <c r="N39" s="11">
        <v>493</v>
      </c>
      <c r="O39" s="11">
        <v>0</v>
      </c>
      <c r="Q39" s="15"/>
      <c r="R39" s="7">
        <v>493</v>
      </c>
      <c r="S39" s="7">
        <v>506.68</v>
      </c>
      <c r="T39" s="7">
        <v>506.68</v>
      </c>
      <c r="U39" s="7">
        <v>506.68</v>
      </c>
      <c r="V39" s="7">
        <v>496.45</v>
      </c>
      <c r="W39" s="7">
        <v>496.45</v>
      </c>
      <c r="X39" s="7">
        <v>496.45</v>
      </c>
      <c r="Y39" s="7">
        <v>320</v>
      </c>
      <c r="Z39" s="7">
        <v>1</v>
      </c>
      <c r="AA39" s="7">
        <v>43.56</v>
      </c>
      <c r="AB39" s="7">
        <v>1.5406249999999999</v>
      </c>
      <c r="AC39" s="7">
        <v>67.109624999999994</v>
      </c>
      <c r="AD39" s="7">
        <v>0</v>
      </c>
      <c r="AF39" s="7">
        <f>IF(PRICING[[#This Row],[SKU]]=J38,AF38+1,1)</f>
        <v>1</v>
      </c>
    </row>
    <row r="40" spans="1:32">
      <c r="A40" s="7" t="s">
        <v>189</v>
      </c>
      <c r="B40" s="7" t="s">
        <v>200</v>
      </c>
      <c r="C40" s="7" t="s">
        <v>191</v>
      </c>
      <c r="D40" s="7" t="s">
        <v>192</v>
      </c>
      <c r="E40" s="7" t="s">
        <v>193</v>
      </c>
      <c r="F40" s="7" t="s">
        <v>201</v>
      </c>
      <c r="G40" s="12" t="s">
        <v>202</v>
      </c>
      <c r="H40" s="13" t="s">
        <v>247</v>
      </c>
      <c r="I40" s="13"/>
      <c r="J40" s="9" t="s">
        <v>131</v>
      </c>
      <c r="K40" s="7" t="s">
        <v>248</v>
      </c>
      <c r="L40" s="7" t="s">
        <v>50</v>
      </c>
      <c r="M40" s="7">
        <v>493</v>
      </c>
      <c r="N40" s="11">
        <v>493</v>
      </c>
      <c r="O40" s="11">
        <v>0</v>
      </c>
      <c r="P40" s="10" t="s">
        <v>218</v>
      </c>
      <c r="Q40" s="15">
        <v>90</v>
      </c>
      <c r="R40" s="7">
        <v>403</v>
      </c>
      <c r="S40" s="7">
        <v>506.68</v>
      </c>
      <c r="T40" s="7">
        <v>506.68</v>
      </c>
      <c r="U40" s="7">
        <v>416.68</v>
      </c>
      <c r="V40" s="7">
        <v>496.45</v>
      </c>
      <c r="W40" s="7">
        <v>496.45</v>
      </c>
      <c r="X40" s="7">
        <v>406.45</v>
      </c>
      <c r="Y40" s="7">
        <v>320</v>
      </c>
      <c r="Z40" s="7">
        <v>1</v>
      </c>
      <c r="AA40" s="7">
        <v>43.56</v>
      </c>
      <c r="AB40" s="7">
        <v>1.2593749999999999</v>
      </c>
      <c r="AC40" s="7">
        <v>54.858375000000002</v>
      </c>
      <c r="AD40" s="7">
        <v>0.18255578093306291</v>
      </c>
      <c r="AF40" s="7">
        <f>IF(PRICING[[#This Row],[SKU]]=J39,AF39+1,1)</f>
        <v>2</v>
      </c>
    </row>
    <row r="41" spans="1:32">
      <c r="A41" s="7" t="s">
        <v>234</v>
      </c>
      <c r="B41" s="7" t="s">
        <v>200</v>
      </c>
      <c r="C41" s="7" t="s">
        <v>191</v>
      </c>
      <c r="D41" s="7" t="s">
        <v>192</v>
      </c>
      <c r="E41" s="7" t="s">
        <v>193</v>
      </c>
      <c r="F41" s="7" t="s">
        <v>201</v>
      </c>
      <c r="G41" s="12" t="s">
        <v>202</v>
      </c>
      <c r="H41" s="13"/>
      <c r="I41" s="13"/>
      <c r="J41" s="16">
        <v>11003880</v>
      </c>
      <c r="K41" s="12" t="s">
        <v>249</v>
      </c>
      <c r="L41" s="12" t="s">
        <v>50</v>
      </c>
      <c r="M41" s="7">
        <v>631.4</v>
      </c>
      <c r="N41" s="7">
        <v>631.4</v>
      </c>
      <c r="O41" s="7">
        <v>0</v>
      </c>
      <c r="Q41" s="24"/>
      <c r="R41" s="7">
        <v>631.4</v>
      </c>
      <c r="S41" s="7">
        <v>648.91999999999996</v>
      </c>
      <c r="T41" s="7">
        <v>648.91999999999996</v>
      </c>
      <c r="U41" s="7">
        <v>648.91999999999996</v>
      </c>
      <c r="V41" s="7">
        <v>635.82000000000005</v>
      </c>
      <c r="W41" s="7">
        <v>635.82000000000005</v>
      </c>
      <c r="X41" s="7">
        <v>635.82000000000005</v>
      </c>
      <c r="Y41" s="7">
        <v>320</v>
      </c>
      <c r="Z41" s="7">
        <v>1.22</v>
      </c>
      <c r="AA41" s="7">
        <v>53.1432</v>
      </c>
      <c r="AB41" s="7">
        <v>2.4072125</v>
      </c>
      <c r="AC41" s="7">
        <v>104.8581765</v>
      </c>
      <c r="AD41" s="7">
        <v>0</v>
      </c>
      <c r="AF41" s="7">
        <f>IF(PRICING[[#This Row],[SKU]]=J40,AF40+1,1)</f>
        <v>1</v>
      </c>
    </row>
    <row r="42" spans="1:32">
      <c r="A42" s="7" t="s">
        <v>234</v>
      </c>
      <c r="B42" s="7" t="s">
        <v>200</v>
      </c>
      <c r="C42" s="7" t="s">
        <v>191</v>
      </c>
      <c r="D42" s="7" t="s">
        <v>192</v>
      </c>
      <c r="E42" s="7" t="s">
        <v>193</v>
      </c>
      <c r="F42" s="7" t="s">
        <v>201</v>
      </c>
      <c r="G42" s="12" t="s">
        <v>202</v>
      </c>
      <c r="H42" s="29"/>
      <c r="I42" s="13"/>
      <c r="J42" s="9">
        <v>11003880</v>
      </c>
      <c r="K42" s="7" t="s">
        <v>249</v>
      </c>
      <c r="L42" s="7" t="s">
        <v>50</v>
      </c>
      <c r="M42" s="8">
        <v>631.4</v>
      </c>
      <c r="N42" s="24">
        <v>631.4</v>
      </c>
      <c r="O42" s="24">
        <v>0</v>
      </c>
      <c r="P42" s="19" t="s">
        <v>233</v>
      </c>
      <c r="Q42" s="15">
        <v>160</v>
      </c>
      <c r="R42" s="7">
        <v>471.4</v>
      </c>
      <c r="S42" s="7">
        <v>648.91999999999996</v>
      </c>
      <c r="T42" s="7">
        <v>648.91999999999996</v>
      </c>
      <c r="U42" s="7">
        <v>488.91999999999996</v>
      </c>
      <c r="V42" s="7">
        <v>635.82000000000005</v>
      </c>
      <c r="W42" s="7">
        <v>635.82000000000005</v>
      </c>
      <c r="X42" s="7">
        <v>475.82000000000005</v>
      </c>
      <c r="Y42" s="7">
        <v>320</v>
      </c>
      <c r="Z42" s="7">
        <v>1.22</v>
      </c>
      <c r="AA42" s="7">
        <v>53.1432</v>
      </c>
      <c r="AB42" s="7">
        <v>1.7972124999999999</v>
      </c>
      <c r="AC42" s="7">
        <v>78.286576499999995</v>
      </c>
      <c r="AD42" s="7">
        <v>0.25340513145391197</v>
      </c>
      <c r="AF42" s="7">
        <f>IF(PRICING[[#This Row],[SKU]]=J41,AF41+1,1)</f>
        <v>2</v>
      </c>
    </row>
    <row r="43" spans="1:32">
      <c r="A43" s="7" t="s">
        <v>189</v>
      </c>
      <c r="B43" s="7" t="s">
        <v>200</v>
      </c>
      <c r="C43" s="7" t="s">
        <v>191</v>
      </c>
      <c r="D43" s="7" t="s">
        <v>192</v>
      </c>
      <c r="E43" s="7" t="s">
        <v>193</v>
      </c>
      <c r="F43" s="7" t="s">
        <v>201</v>
      </c>
      <c r="G43" s="12" t="s">
        <v>202</v>
      </c>
      <c r="H43" s="29"/>
      <c r="I43" s="13"/>
      <c r="J43" s="9" t="s">
        <v>105</v>
      </c>
      <c r="K43" s="7" t="s">
        <v>250</v>
      </c>
      <c r="L43" s="7" t="s">
        <v>251</v>
      </c>
      <c r="M43" s="8">
        <v>946.56</v>
      </c>
      <c r="N43" s="24">
        <v>946.56</v>
      </c>
      <c r="O43" s="24">
        <v>0</v>
      </c>
      <c r="P43" s="19"/>
      <c r="Q43" s="24"/>
      <c r="R43" s="7">
        <v>946.56</v>
      </c>
      <c r="S43" s="7" t="s">
        <v>229</v>
      </c>
      <c r="T43" s="7" t="s">
        <v>229</v>
      </c>
      <c r="U43" s="7" t="s">
        <v>229</v>
      </c>
      <c r="V43" s="7">
        <v>953.2</v>
      </c>
      <c r="W43" s="7">
        <v>953.2</v>
      </c>
      <c r="X43" s="7">
        <v>953.2</v>
      </c>
      <c r="Y43" s="7">
        <v>348.16</v>
      </c>
      <c r="Z43" s="7">
        <v>4</v>
      </c>
      <c r="AA43" s="7">
        <v>174.24</v>
      </c>
      <c r="AB43" s="7">
        <v>10.874999999999998</v>
      </c>
      <c r="AC43" s="7">
        <v>473.71499999999997</v>
      </c>
      <c r="AD43" s="7">
        <v>0</v>
      </c>
      <c r="AF43" s="7">
        <f>IF(PRICING[[#This Row],[SKU]]=J42,AF42+1,1)</f>
        <v>1</v>
      </c>
    </row>
    <row r="44" spans="1:32">
      <c r="A44" s="7" t="s">
        <v>189</v>
      </c>
      <c r="B44" s="7" t="s">
        <v>200</v>
      </c>
      <c r="C44" s="7" t="s">
        <v>191</v>
      </c>
      <c r="D44" s="7" t="s">
        <v>192</v>
      </c>
      <c r="E44" s="7" t="s">
        <v>193</v>
      </c>
      <c r="F44" s="7" t="s">
        <v>201</v>
      </c>
      <c r="G44" s="12" t="s">
        <v>202</v>
      </c>
      <c r="H44" s="29"/>
      <c r="I44" s="13"/>
      <c r="J44" s="9" t="s">
        <v>105</v>
      </c>
      <c r="K44" s="7" t="s">
        <v>250</v>
      </c>
      <c r="L44" s="7" t="s">
        <v>251</v>
      </c>
      <c r="M44" s="8">
        <v>946.56</v>
      </c>
      <c r="N44" s="24">
        <v>946.56</v>
      </c>
      <c r="O44" s="24">
        <v>0</v>
      </c>
      <c r="P44" s="19" t="s">
        <v>252</v>
      </c>
      <c r="Q44" s="24">
        <v>65</v>
      </c>
      <c r="R44" s="7">
        <v>881.56</v>
      </c>
      <c r="S44" s="7" t="s">
        <v>229</v>
      </c>
      <c r="T44" s="7" t="s">
        <v>229</v>
      </c>
      <c r="U44" s="7" t="s">
        <v>229</v>
      </c>
      <c r="V44" s="7">
        <v>953.2</v>
      </c>
      <c r="W44" s="7">
        <v>953.2</v>
      </c>
      <c r="X44" s="7">
        <v>888.2</v>
      </c>
      <c r="Y44" s="7">
        <v>348.16</v>
      </c>
      <c r="Z44" s="7">
        <v>4</v>
      </c>
      <c r="AA44" s="7">
        <v>174.24</v>
      </c>
      <c r="AB44" s="7">
        <v>10.128216911764705</v>
      </c>
      <c r="AC44" s="7">
        <v>441.18512867647058</v>
      </c>
      <c r="AD44" s="7">
        <v>6.8669709263015521E-2</v>
      </c>
      <c r="AF44" s="7">
        <f>IF(PRICING[[#This Row],[SKU]]=J43,AF43+1,1)</f>
        <v>2</v>
      </c>
    </row>
    <row r="45" spans="1:32">
      <c r="A45" s="7" t="s">
        <v>189</v>
      </c>
      <c r="B45" s="7" t="s">
        <v>200</v>
      </c>
      <c r="C45" s="7" t="s">
        <v>191</v>
      </c>
      <c r="D45" s="7" t="s">
        <v>192</v>
      </c>
      <c r="E45" s="7" t="s">
        <v>193</v>
      </c>
      <c r="F45" s="7" t="s">
        <v>201</v>
      </c>
      <c r="G45" s="12" t="s">
        <v>202</v>
      </c>
      <c r="H45" s="29"/>
      <c r="I45" s="13"/>
      <c r="J45" s="9" t="s">
        <v>105</v>
      </c>
      <c r="K45" s="7" t="s">
        <v>250</v>
      </c>
      <c r="L45" s="7" t="s">
        <v>251</v>
      </c>
      <c r="M45" s="7">
        <v>946.56</v>
      </c>
      <c r="N45" s="11">
        <v>946.56</v>
      </c>
      <c r="O45" s="11">
        <v>0</v>
      </c>
      <c r="P45" s="10" t="s">
        <v>253</v>
      </c>
      <c r="Q45" s="15">
        <v>180</v>
      </c>
      <c r="R45" s="7">
        <v>766.56</v>
      </c>
      <c r="S45" s="7" t="s">
        <v>229</v>
      </c>
      <c r="T45" s="7" t="s">
        <v>229</v>
      </c>
      <c r="U45" s="7" t="s">
        <v>229</v>
      </c>
      <c r="V45" s="7">
        <v>953.2</v>
      </c>
      <c r="W45" s="7">
        <v>953.2</v>
      </c>
      <c r="X45" s="7">
        <v>773.2</v>
      </c>
      <c r="Y45" s="7">
        <v>348.16</v>
      </c>
      <c r="Z45" s="7">
        <v>4</v>
      </c>
      <c r="AA45" s="7">
        <v>174.24</v>
      </c>
      <c r="AB45" s="7">
        <v>8.806985294117645</v>
      </c>
      <c r="AC45" s="7">
        <v>383.63227941176461</v>
      </c>
      <c r="AD45" s="7">
        <v>0.1901622718052739</v>
      </c>
      <c r="AF45" s="7">
        <f>IF(PRICING[[#This Row],[SKU]]=J44,AF44+1,1)</f>
        <v>3</v>
      </c>
    </row>
    <row r="46" spans="1:32">
      <c r="A46" s="7" t="s">
        <v>234</v>
      </c>
      <c r="B46" s="7" t="s">
        <v>200</v>
      </c>
      <c r="C46" s="7" t="s">
        <v>191</v>
      </c>
      <c r="D46" s="7" t="s">
        <v>192</v>
      </c>
      <c r="E46" s="7" t="s">
        <v>193</v>
      </c>
      <c r="F46" s="7" t="s">
        <v>201</v>
      </c>
      <c r="G46" s="12" t="s">
        <v>202</v>
      </c>
      <c r="H46" s="13"/>
      <c r="I46" s="13"/>
      <c r="J46" s="16">
        <v>11014245</v>
      </c>
      <c r="K46" s="12" t="s">
        <v>254</v>
      </c>
      <c r="L46" s="12" t="s">
        <v>255</v>
      </c>
      <c r="M46" s="7">
        <v>499.8</v>
      </c>
      <c r="N46" s="7">
        <v>474.81</v>
      </c>
      <c r="O46" s="7">
        <v>24.990000000000009</v>
      </c>
      <c r="R46" s="7">
        <v>474.81</v>
      </c>
      <c r="S46" s="7">
        <v>513.66999999999996</v>
      </c>
      <c r="T46" s="7">
        <v>487.99</v>
      </c>
      <c r="U46" s="7">
        <v>487.99</v>
      </c>
      <c r="V46" s="7">
        <v>503.3</v>
      </c>
      <c r="W46" s="7">
        <v>478.13</v>
      </c>
      <c r="X46" s="7">
        <v>478.13</v>
      </c>
      <c r="Y46" s="7">
        <v>35</v>
      </c>
      <c r="Z46" s="7">
        <v>0.6</v>
      </c>
      <c r="AA46" s="7">
        <v>26.135999999999999</v>
      </c>
      <c r="AB46" s="7">
        <v>8.1395999999999997</v>
      </c>
      <c r="AC46" s="7">
        <v>354.56097599999998</v>
      </c>
      <c r="AD46" s="7">
        <v>5.0000000000000044E-2</v>
      </c>
      <c r="AF46" s="7">
        <f>IF(PRICING[[#This Row],[SKU]]=J45,AF45+1,1)</f>
        <v>1</v>
      </c>
    </row>
    <row r="47" spans="1:32">
      <c r="A47" s="7" t="s">
        <v>234</v>
      </c>
      <c r="B47" s="7" t="s">
        <v>200</v>
      </c>
      <c r="C47" s="7" t="s">
        <v>191</v>
      </c>
      <c r="D47" s="7" t="s">
        <v>192</v>
      </c>
      <c r="E47" s="7" t="s">
        <v>193</v>
      </c>
      <c r="F47" s="7" t="s">
        <v>201</v>
      </c>
      <c r="G47" s="12" t="s">
        <v>202</v>
      </c>
      <c r="H47" s="13"/>
      <c r="I47" s="13"/>
      <c r="J47" s="16">
        <v>11014245</v>
      </c>
      <c r="K47" s="12" t="s">
        <v>254</v>
      </c>
      <c r="L47" s="12" t="s">
        <v>255</v>
      </c>
      <c r="M47" s="7">
        <v>499.8</v>
      </c>
      <c r="N47" s="7">
        <v>474.81</v>
      </c>
      <c r="O47" s="7">
        <v>24.990000000000009</v>
      </c>
      <c r="P47" s="10" t="s">
        <v>220</v>
      </c>
      <c r="Q47" s="11">
        <v>15</v>
      </c>
      <c r="R47" s="7">
        <v>459.81</v>
      </c>
      <c r="S47" s="7">
        <v>513.66999999999996</v>
      </c>
      <c r="T47" s="7">
        <v>487.99</v>
      </c>
      <c r="U47" s="7">
        <v>472.99</v>
      </c>
      <c r="V47" s="7">
        <v>503.3</v>
      </c>
      <c r="W47" s="7">
        <v>478.13</v>
      </c>
      <c r="X47" s="7">
        <v>463.13</v>
      </c>
      <c r="Y47" s="7">
        <v>35</v>
      </c>
      <c r="Z47" s="7">
        <v>0.6</v>
      </c>
      <c r="AA47" s="7">
        <v>26.135999999999999</v>
      </c>
      <c r="AB47" s="7">
        <v>7.8824571428571426</v>
      </c>
      <c r="AC47" s="7">
        <v>343.35983314285716</v>
      </c>
      <c r="AD47" s="7">
        <v>8.0012004801920833E-2</v>
      </c>
      <c r="AF47" s="7">
        <f>IF(PRICING[[#This Row],[SKU]]=J46,AF46+1,1)</f>
        <v>2</v>
      </c>
    </row>
    <row r="48" spans="1:32">
      <c r="A48" s="7" t="s">
        <v>189</v>
      </c>
      <c r="B48" s="7" t="s">
        <v>200</v>
      </c>
      <c r="C48" s="7" t="s">
        <v>191</v>
      </c>
      <c r="D48" s="7" t="s">
        <v>192</v>
      </c>
      <c r="E48" s="7" t="s">
        <v>193</v>
      </c>
      <c r="F48" s="7" t="s">
        <v>201</v>
      </c>
      <c r="G48" s="12" t="s">
        <v>202</v>
      </c>
      <c r="H48" s="13" t="s">
        <v>256</v>
      </c>
      <c r="I48" s="13"/>
      <c r="J48" s="16" t="s">
        <v>132</v>
      </c>
      <c r="K48" s="12" t="s">
        <v>257</v>
      </c>
      <c r="L48" s="12" t="s">
        <v>258</v>
      </c>
      <c r="M48" s="7">
        <v>210.4</v>
      </c>
      <c r="N48" s="7">
        <v>199.88</v>
      </c>
      <c r="O48" s="7">
        <v>10.52000000000001</v>
      </c>
      <c r="P48" s="25"/>
      <c r="Q48" s="24"/>
      <c r="R48" s="7">
        <v>199.88</v>
      </c>
      <c r="S48" s="7">
        <v>216.24</v>
      </c>
      <c r="T48" s="7">
        <v>205.43</v>
      </c>
      <c r="U48" s="7">
        <v>205.43</v>
      </c>
      <c r="V48" s="7">
        <v>211.88</v>
      </c>
      <c r="W48" s="7">
        <v>201.28</v>
      </c>
      <c r="X48" s="7">
        <v>201.28</v>
      </c>
      <c r="Y48" s="7">
        <v>88</v>
      </c>
      <c r="Z48" s="7">
        <v>4</v>
      </c>
      <c r="AA48" s="7">
        <v>174.24</v>
      </c>
      <c r="AB48" s="7">
        <v>9.0854545454545459</v>
      </c>
      <c r="AC48" s="7">
        <v>395.76240000000001</v>
      </c>
      <c r="AD48" s="7">
        <v>5.0000000000000044E-2</v>
      </c>
      <c r="AF48" s="7">
        <f>IF(PRICING[[#This Row],[SKU]]=J47,AF47+1,1)</f>
        <v>1</v>
      </c>
    </row>
    <row r="49" spans="1:32">
      <c r="A49" s="7" t="s">
        <v>189</v>
      </c>
      <c r="B49" s="7" t="s">
        <v>200</v>
      </c>
      <c r="C49" s="7" t="s">
        <v>191</v>
      </c>
      <c r="D49" s="7" t="s">
        <v>192</v>
      </c>
      <c r="E49" s="7" t="s">
        <v>193</v>
      </c>
      <c r="F49" s="7" t="s">
        <v>201</v>
      </c>
      <c r="G49" s="12" t="s">
        <v>202</v>
      </c>
      <c r="H49" s="13" t="s">
        <v>256</v>
      </c>
      <c r="I49" s="13"/>
      <c r="J49" s="16" t="s">
        <v>132</v>
      </c>
      <c r="K49" s="12" t="s">
        <v>257</v>
      </c>
      <c r="L49" s="12" t="s">
        <v>258</v>
      </c>
      <c r="M49" s="7">
        <v>210.4</v>
      </c>
      <c r="N49" s="7">
        <v>199.88</v>
      </c>
      <c r="O49" s="7">
        <v>10.52000000000001</v>
      </c>
      <c r="P49" s="25" t="s">
        <v>259</v>
      </c>
      <c r="Q49" s="24">
        <v>15</v>
      </c>
      <c r="R49" s="7">
        <v>184.88</v>
      </c>
      <c r="S49" s="7">
        <v>216.24</v>
      </c>
      <c r="T49" s="7">
        <v>205.43</v>
      </c>
      <c r="U49" s="7">
        <v>190.43</v>
      </c>
      <c r="V49" s="7">
        <v>211.88</v>
      </c>
      <c r="W49" s="7">
        <v>201.28</v>
      </c>
      <c r="X49" s="7">
        <v>186.28</v>
      </c>
      <c r="Y49" s="7">
        <v>88</v>
      </c>
      <c r="Z49" s="7">
        <v>4</v>
      </c>
      <c r="AA49" s="7">
        <v>174.24</v>
      </c>
      <c r="AB49" s="7">
        <v>8.4036363636363642</v>
      </c>
      <c r="AC49" s="7">
        <v>366.06240000000003</v>
      </c>
      <c r="AD49" s="7">
        <v>0.12129277566539931</v>
      </c>
      <c r="AF49" s="7">
        <f>IF(PRICING[[#This Row],[SKU]]=J48,AF48+1,1)</f>
        <v>2</v>
      </c>
    </row>
    <row r="50" spans="1:32">
      <c r="A50" s="7" t="s">
        <v>189</v>
      </c>
      <c r="B50" s="7" t="s">
        <v>200</v>
      </c>
      <c r="C50" s="7" t="s">
        <v>191</v>
      </c>
      <c r="D50" s="7" t="s">
        <v>192</v>
      </c>
      <c r="E50" s="7" t="s">
        <v>193</v>
      </c>
      <c r="F50" s="7" t="s">
        <v>201</v>
      </c>
      <c r="G50" s="12" t="s">
        <v>194</v>
      </c>
      <c r="H50" s="13" t="s">
        <v>260</v>
      </c>
      <c r="I50" s="13"/>
      <c r="J50" s="16" t="s">
        <v>133</v>
      </c>
      <c r="K50" s="7" t="s">
        <v>261</v>
      </c>
      <c r="L50" s="7" t="s">
        <v>50</v>
      </c>
      <c r="M50" s="7">
        <v>1033</v>
      </c>
      <c r="N50" s="11">
        <v>981.35</v>
      </c>
      <c r="O50" s="11">
        <v>51.649999999999977</v>
      </c>
      <c r="Q50" s="15">
        <v>0</v>
      </c>
      <c r="R50" s="7">
        <v>981.35</v>
      </c>
      <c r="Y50" s="7">
        <v>320</v>
      </c>
      <c r="Z50" s="7">
        <v>1.5</v>
      </c>
      <c r="AA50" s="7">
        <v>65.34</v>
      </c>
      <c r="AB50" s="7">
        <v>4.6000781250000005</v>
      </c>
      <c r="AC50" s="7">
        <v>200.37940312500001</v>
      </c>
      <c r="AD50" s="7">
        <v>4.9999999999999933E-2</v>
      </c>
    </row>
    <row r="51" spans="1:32">
      <c r="A51" s="7" t="s">
        <v>189</v>
      </c>
      <c r="B51" s="7" t="s">
        <v>200</v>
      </c>
      <c r="C51" s="7" t="s">
        <v>191</v>
      </c>
      <c r="D51" s="7" t="s">
        <v>192</v>
      </c>
      <c r="E51" s="7" t="s">
        <v>193</v>
      </c>
      <c r="F51" s="7" t="s">
        <v>201</v>
      </c>
      <c r="G51" s="12" t="s">
        <v>194</v>
      </c>
      <c r="H51" s="13" t="s">
        <v>260</v>
      </c>
      <c r="I51" s="13"/>
      <c r="J51" s="16" t="s">
        <v>133</v>
      </c>
      <c r="K51" s="7" t="s">
        <v>261</v>
      </c>
      <c r="L51" s="7" t="s">
        <v>50</v>
      </c>
      <c r="M51" s="7">
        <v>940</v>
      </c>
      <c r="N51" s="11">
        <v>893</v>
      </c>
      <c r="O51" s="11">
        <v>47</v>
      </c>
      <c r="P51" s="10" t="s">
        <v>233</v>
      </c>
      <c r="Q51" s="15">
        <v>5</v>
      </c>
      <c r="R51" s="7">
        <v>888</v>
      </c>
      <c r="Y51" s="7">
        <v>320</v>
      </c>
      <c r="Z51" s="7">
        <v>1.5</v>
      </c>
      <c r="AA51" s="7">
        <v>65.34</v>
      </c>
      <c r="AB51" s="7">
        <v>4.1624999999999996</v>
      </c>
      <c r="AC51" s="7">
        <v>181.3185</v>
      </c>
      <c r="AD51" s="7">
        <v>5.5319148936170182E-2</v>
      </c>
    </row>
    <row r="52" spans="1:32">
      <c r="A52" s="7" t="s">
        <v>234</v>
      </c>
      <c r="B52" s="7" t="s">
        <v>200</v>
      </c>
      <c r="C52" s="7" t="s">
        <v>191</v>
      </c>
      <c r="D52" s="7" t="s">
        <v>192</v>
      </c>
      <c r="E52" s="7" t="s">
        <v>193</v>
      </c>
      <c r="F52" s="7" t="s">
        <v>201</v>
      </c>
      <c r="G52" s="12" t="s">
        <v>194</v>
      </c>
      <c r="H52" s="13"/>
      <c r="I52" s="13"/>
      <c r="J52" s="16">
        <v>11015981</v>
      </c>
      <c r="K52" s="7" t="s">
        <v>262</v>
      </c>
      <c r="L52" s="7" t="s">
        <v>50</v>
      </c>
      <c r="M52" s="7">
        <v>3360</v>
      </c>
      <c r="N52" s="11">
        <v>3360</v>
      </c>
      <c r="O52" s="11">
        <v>0</v>
      </c>
      <c r="Q52" s="15"/>
      <c r="R52" s="7">
        <v>3360</v>
      </c>
      <c r="Y52" s="7">
        <v>320</v>
      </c>
      <c r="Z52" s="7">
        <v>0.7</v>
      </c>
      <c r="AA52" s="7">
        <v>30.492000000000001</v>
      </c>
      <c r="AB52" s="7">
        <v>7.35</v>
      </c>
      <c r="AC52" s="7">
        <v>320.166</v>
      </c>
      <c r="AD52" s="7">
        <v>0</v>
      </c>
    </row>
    <row r="53" spans="1:32">
      <c r="A53" s="7" t="s">
        <v>234</v>
      </c>
      <c r="B53" s="7" t="s">
        <v>200</v>
      </c>
      <c r="C53" s="7" t="s">
        <v>191</v>
      </c>
      <c r="D53" s="7" t="s">
        <v>192</v>
      </c>
      <c r="E53" s="7" t="s">
        <v>193</v>
      </c>
      <c r="F53" s="7" t="s">
        <v>201</v>
      </c>
      <c r="G53" s="12" t="s">
        <v>194</v>
      </c>
      <c r="H53" s="13"/>
      <c r="I53" s="13"/>
      <c r="J53" s="16">
        <v>11015981</v>
      </c>
      <c r="K53" s="7" t="s">
        <v>262</v>
      </c>
      <c r="L53" s="7" t="s">
        <v>50</v>
      </c>
      <c r="M53" s="7">
        <v>3360</v>
      </c>
      <c r="N53" s="11">
        <v>3360</v>
      </c>
      <c r="O53" s="11">
        <v>0</v>
      </c>
      <c r="P53" s="10" t="s">
        <v>230</v>
      </c>
      <c r="Q53" s="15">
        <v>400</v>
      </c>
      <c r="R53" s="7">
        <v>2960</v>
      </c>
      <c r="Y53" s="7">
        <v>320</v>
      </c>
      <c r="Z53" s="7">
        <v>0.7</v>
      </c>
      <c r="AA53" s="7">
        <v>30.492000000000001</v>
      </c>
      <c r="AB53" s="7">
        <v>6.4749999999999996</v>
      </c>
      <c r="AC53" s="7">
        <v>282.05099999999999</v>
      </c>
      <c r="AD53" s="7">
        <v>0.11904761904761907</v>
      </c>
    </row>
    <row r="54" spans="1:32">
      <c r="A54" s="7" t="s">
        <v>234</v>
      </c>
      <c r="B54" s="7" t="s">
        <v>200</v>
      </c>
      <c r="C54" s="7" t="s">
        <v>191</v>
      </c>
      <c r="D54" s="7" t="s">
        <v>192</v>
      </c>
      <c r="E54" s="7" t="s">
        <v>193</v>
      </c>
      <c r="F54" s="7" t="s">
        <v>201</v>
      </c>
      <c r="G54" s="12" t="s">
        <v>194</v>
      </c>
      <c r="H54" s="13"/>
      <c r="I54" s="13"/>
      <c r="J54" s="16">
        <v>11015990</v>
      </c>
      <c r="K54" s="7" t="s">
        <v>262</v>
      </c>
      <c r="L54" s="7" t="s">
        <v>47</v>
      </c>
      <c r="M54" s="7">
        <v>772.8</v>
      </c>
      <c r="N54" s="11">
        <v>772.8</v>
      </c>
      <c r="O54" s="11">
        <v>0</v>
      </c>
      <c r="Q54" s="15"/>
      <c r="R54" s="7">
        <v>772.8</v>
      </c>
      <c r="Y54" s="7">
        <v>64</v>
      </c>
      <c r="Z54" s="7">
        <v>0.7</v>
      </c>
      <c r="AA54" s="7">
        <v>30.492000000000001</v>
      </c>
      <c r="AB54" s="7">
        <v>8.4524999999999988</v>
      </c>
      <c r="AC54" s="7">
        <v>368.1909</v>
      </c>
      <c r="AD54" s="7">
        <v>0</v>
      </c>
    </row>
    <row r="55" spans="1:32">
      <c r="A55" s="7" t="s">
        <v>234</v>
      </c>
      <c r="B55" s="7" t="s">
        <v>200</v>
      </c>
      <c r="C55" s="7" t="s">
        <v>191</v>
      </c>
      <c r="D55" s="7" t="s">
        <v>192</v>
      </c>
      <c r="E55" s="7" t="s">
        <v>193</v>
      </c>
      <c r="F55" s="7" t="s">
        <v>201</v>
      </c>
      <c r="G55" s="12" t="s">
        <v>194</v>
      </c>
      <c r="H55" s="13"/>
      <c r="I55" s="13"/>
      <c r="J55" s="16">
        <v>11015990</v>
      </c>
      <c r="K55" s="7" t="s">
        <v>262</v>
      </c>
      <c r="L55" s="7" t="s">
        <v>47</v>
      </c>
      <c r="M55" s="7">
        <v>772.8</v>
      </c>
      <c r="N55" s="11">
        <v>772.8</v>
      </c>
      <c r="O55" s="11">
        <v>0</v>
      </c>
      <c r="P55" s="10" t="s">
        <v>218</v>
      </c>
      <c r="Q55" s="15">
        <v>145</v>
      </c>
      <c r="R55" s="7">
        <v>627.79999999999995</v>
      </c>
      <c r="Y55" s="7">
        <v>64</v>
      </c>
      <c r="Z55" s="7">
        <v>0.7</v>
      </c>
      <c r="AA55" s="7">
        <v>30.492000000000001</v>
      </c>
      <c r="AB55" s="7">
        <v>6.8665624999999988</v>
      </c>
      <c r="AC55" s="7">
        <v>299.1074625</v>
      </c>
      <c r="AD55" s="7">
        <v>0.18762939958592129</v>
      </c>
    </row>
    <row r="56" spans="1:32">
      <c r="A56" s="7" t="s">
        <v>189</v>
      </c>
      <c r="B56" s="7" t="s">
        <v>190</v>
      </c>
      <c r="C56" s="7" t="s">
        <v>219</v>
      </c>
      <c r="D56" s="7" t="s">
        <v>192</v>
      </c>
      <c r="E56" s="7" t="s">
        <v>263</v>
      </c>
      <c r="G56" s="12" t="s">
        <v>194</v>
      </c>
      <c r="H56" s="13"/>
      <c r="I56" s="13"/>
      <c r="J56" s="16" t="s">
        <v>134</v>
      </c>
      <c r="K56" s="12" t="s">
        <v>264</v>
      </c>
      <c r="L56" s="12" t="s">
        <v>265</v>
      </c>
      <c r="M56" s="7">
        <v>55.55</v>
      </c>
      <c r="N56" s="7">
        <v>55.55</v>
      </c>
      <c r="O56" s="7">
        <v>0</v>
      </c>
      <c r="P56" s="10" t="s">
        <v>266</v>
      </c>
      <c r="Q56" s="11">
        <v>7.5</v>
      </c>
      <c r="R56" s="7">
        <v>48.05</v>
      </c>
      <c r="Y56" s="7">
        <v>64</v>
      </c>
      <c r="Z56" s="7">
        <v>1.4692378328741964</v>
      </c>
      <c r="AA56" s="7">
        <v>64</v>
      </c>
      <c r="AB56" s="7">
        <v>1.1030762167125803</v>
      </c>
      <c r="AC56" s="7">
        <v>48.05</v>
      </c>
      <c r="AD56" s="7">
        <v>0.13501350135013501</v>
      </c>
      <c r="AF56" s="7">
        <f>IF(PRICING[[#This Row],[SKU]]=J55,AF55+1,1)</f>
        <v>1</v>
      </c>
    </row>
    <row r="57" spans="1:32">
      <c r="A57" s="7" t="s">
        <v>189</v>
      </c>
      <c r="B57" s="7" t="s">
        <v>190</v>
      </c>
      <c r="C57" s="7" t="s">
        <v>219</v>
      </c>
      <c r="D57" s="7" t="s">
        <v>192</v>
      </c>
      <c r="E57" s="7" t="s">
        <v>263</v>
      </c>
      <c r="G57" s="12" t="s">
        <v>194</v>
      </c>
      <c r="H57" s="13"/>
      <c r="I57" s="13"/>
      <c r="J57" s="16" t="s">
        <v>136</v>
      </c>
      <c r="K57" s="12" t="s">
        <v>264</v>
      </c>
      <c r="L57" s="12" t="s">
        <v>204</v>
      </c>
      <c r="M57" s="7">
        <v>267.64999999999998</v>
      </c>
      <c r="N57" s="7">
        <v>267.64999999999998</v>
      </c>
      <c r="O57" s="7">
        <v>0</v>
      </c>
      <c r="P57" s="10" t="s">
        <v>266</v>
      </c>
      <c r="Q57" s="11">
        <v>37.5</v>
      </c>
      <c r="R57" s="7">
        <v>230.14999999999998</v>
      </c>
      <c r="Y57" s="7">
        <v>320</v>
      </c>
      <c r="Z57" s="7">
        <v>1.4692378328741964</v>
      </c>
      <c r="AA57" s="7">
        <v>64</v>
      </c>
      <c r="AB57" s="7">
        <v>1.0567033976124882</v>
      </c>
      <c r="AC57" s="7">
        <v>46.029999999999994</v>
      </c>
      <c r="AD57" s="7">
        <v>0.14010835045768733</v>
      </c>
      <c r="AF57" s="7">
        <f>IF(PRICING[[#This Row],[SKU]]=J56,AF56+1,1)</f>
        <v>1</v>
      </c>
    </row>
    <row r="58" spans="1:32">
      <c r="A58" s="7" t="s">
        <v>189</v>
      </c>
      <c r="B58" s="7" t="s">
        <v>190</v>
      </c>
      <c r="C58" s="7" t="s">
        <v>219</v>
      </c>
      <c r="D58" s="7" t="s">
        <v>267</v>
      </c>
      <c r="E58" s="7" t="s">
        <v>263</v>
      </c>
      <c r="G58" s="12" t="s">
        <v>194</v>
      </c>
      <c r="H58" s="13"/>
      <c r="I58" s="13"/>
      <c r="J58" s="16">
        <v>87300722</v>
      </c>
      <c r="K58" s="12" t="s">
        <v>268</v>
      </c>
      <c r="L58" s="12" t="s">
        <v>66</v>
      </c>
      <c r="M58" s="7">
        <v>798.24</v>
      </c>
      <c r="N58" s="7">
        <v>798.24</v>
      </c>
      <c r="O58" s="7">
        <v>0</v>
      </c>
      <c r="Q58" s="11">
        <v>90</v>
      </c>
      <c r="R58" s="7">
        <v>708.24</v>
      </c>
      <c r="Y58" s="7">
        <v>128</v>
      </c>
      <c r="Z58" s="7">
        <v>0.4591368227731864</v>
      </c>
      <c r="AA58" s="7">
        <v>20</v>
      </c>
      <c r="AB58" s="7">
        <v>2.5404614325068873</v>
      </c>
      <c r="AC58" s="7">
        <v>110.66249999999999</v>
      </c>
      <c r="AD58" s="7">
        <v>0.1127480457005412</v>
      </c>
      <c r="AF58" s="7">
        <f>IF(PRICING[[#This Row],[SKU]]=J57,AF57+1,1)</f>
        <v>1</v>
      </c>
    </row>
    <row r="59" spans="1:32">
      <c r="A59" s="7" t="s">
        <v>189</v>
      </c>
      <c r="B59" s="7" t="s">
        <v>190</v>
      </c>
      <c r="C59" s="7" t="s">
        <v>219</v>
      </c>
      <c r="D59" s="7" t="s">
        <v>269</v>
      </c>
      <c r="E59" s="7" t="s">
        <v>263</v>
      </c>
      <c r="G59" s="12" t="s">
        <v>194</v>
      </c>
      <c r="H59" s="13"/>
      <c r="I59" s="13"/>
      <c r="J59" s="16">
        <v>11008351</v>
      </c>
      <c r="K59" s="12" t="s">
        <v>270</v>
      </c>
      <c r="L59" s="12" t="s">
        <v>271</v>
      </c>
      <c r="M59" s="7">
        <v>166.86</v>
      </c>
      <c r="N59" s="7">
        <v>166.86</v>
      </c>
      <c r="O59" s="7">
        <v>0</v>
      </c>
      <c r="Q59" s="11">
        <v>22</v>
      </c>
      <c r="R59" s="7">
        <v>144.86000000000001</v>
      </c>
      <c r="Y59" s="7">
        <v>8</v>
      </c>
      <c r="Z59" s="7">
        <v>0.14921946740128558</v>
      </c>
      <c r="AA59" s="7">
        <v>6.5</v>
      </c>
      <c r="AB59" s="7">
        <v>2.7019915059687789</v>
      </c>
      <c r="AC59" s="7">
        <v>117.69875000000002</v>
      </c>
      <c r="AD59" s="7">
        <v>0.13184705741340041</v>
      </c>
      <c r="AF59" s="7">
        <f>IF(PRICING[[#This Row],[SKU]]=J58,AF58+1,1)</f>
        <v>1</v>
      </c>
    </row>
    <row r="60" spans="1:32">
      <c r="A60" s="7" t="s">
        <v>189</v>
      </c>
      <c r="B60" s="7" t="s">
        <v>200</v>
      </c>
      <c r="C60" s="7" t="s">
        <v>219</v>
      </c>
      <c r="D60" s="7" t="s">
        <v>269</v>
      </c>
      <c r="E60" s="7" t="s">
        <v>263</v>
      </c>
      <c r="F60" s="7" t="s">
        <v>201</v>
      </c>
      <c r="G60" s="12" t="s">
        <v>202</v>
      </c>
      <c r="H60" s="23"/>
      <c r="I60" s="23"/>
      <c r="J60" s="9">
        <v>79714858</v>
      </c>
      <c r="K60" s="7" t="s">
        <v>52</v>
      </c>
      <c r="L60" s="7" t="s">
        <v>53</v>
      </c>
      <c r="M60" s="7">
        <v>131.19999999999999</v>
      </c>
      <c r="N60" s="11">
        <v>124.64</v>
      </c>
      <c r="O60" s="11">
        <v>6.5599999999999881</v>
      </c>
      <c r="P60" s="19"/>
      <c r="Q60" s="15"/>
      <c r="R60" s="7">
        <v>124.64</v>
      </c>
      <c r="S60" s="7">
        <v>134.84</v>
      </c>
      <c r="T60" s="7">
        <v>128.1</v>
      </c>
      <c r="U60" s="7">
        <v>128.1</v>
      </c>
      <c r="V60" s="7">
        <v>132.12</v>
      </c>
      <c r="W60" s="7">
        <v>125.51</v>
      </c>
      <c r="X60" s="7">
        <v>125.51</v>
      </c>
      <c r="Y60" s="7">
        <v>10</v>
      </c>
      <c r="Z60" s="7">
        <v>8.4940312213039479E-2</v>
      </c>
      <c r="AA60" s="7">
        <v>3.6999999999999997</v>
      </c>
      <c r="AB60" s="7">
        <v>1.0586960514233241</v>
      </c>
      <c r="AC60" s="7">
        <v>46.116799999999998</v>
      </c>
      <c r="AD60" s="7">
        <v>4.9999999999999933E-2</v>
      </c>
      <c r="AF60" s="7">
        <f>IF(PRICING[[#This Row],[SKU]]=J59,AF59+1,1)</f>
        <v>1</v>
      </c>
    </row>
    <row r="61" spans="1:32">
      <c r="A61" s="7" t="s">
        <v>189</v>
      </c>
      <c r="B61" s="7" t="s">
        <v>200</v>
      </c>
      <c r="C61" s="7" t="s">
        <v>219</v>
      </c>
      <c r="D61" s="7" t="s">
        <v>269</v>
      </c>
      <c r="E61" s="7" t="s">
        <v>263</v>
      </c>
      <c r="F61" s="7" t="s">
        <v>201</v>
      </c>
      <c r="G61" s="12" t="s">
        <v>202</v>
      </c>
      <c r="H61" s="23"/>
      <c r="I61" s="23"/>
      <c r="J61" s="9">
        <v>79714858</v>
      </c>
      <c r="K61" s="7" t="s">
        <v>52</v>
      </c>
      <c r="L61" s="7" t="s">
        <v>53</v>
      </c>
      <c r="M61" s="7">
        <v>131.19999999999999</v>
      </c>
      <c r="N61" s="11">
        <v>124.64</v>
      </c>
      <c r="O61" s="11">
        <v>6.5599999999999881</v>
      </c>
      <c r="P61" s="10" t="s">
        <v>272</v>
      </c>
      <c r="Q61" s="15">
        <v>12</v>
      </c>
      <c r="R61" s="7">
        <v>112.64</v>
      </c>
      <c r="S61" s="7">
        <v>134.84</v>
      </c>
      <c r="T61" s="7">
        <v>128.1</v>
      </c>
      <c r="U61" s="7">
        <v>116.1</v>
      </c>
      <c r="V61" s="7">
        <v>132.12</v>
      </c>
      <c r="W61" s="7">
        <v>125.51</v>
      </c>
      <c r="X61" s="7">
        <v>113.51</v>
      </c>
      <c r="Y61" s="7">
        <v>10</v>
      </c>
      <c r="Z61" s="7">
        <v>8.4940312213039479E-2</v>
      </c>
      <c r="AA61" s="7">
        <v>3.6999999999999997</v>
      </c>
      <c r="AB61" s="7">
        <v>0.9567676767676766</v>
      </c>
      <c r="AC61" s="7">
        <v>41.676799999999993</v>
      </c>
      <c r="AD61" s="7">
        <v>0.14146341463414625</v>
      </c>
      <c r="AF61" s="7">
        <f>IF(PRICING[[#This Row],[SKU]]=J60,AF60+1,1)</f>
        <v>2</v>
      </c>
    </row>
    <row r="62" spans="1:32">
      <c r="A62" s="7" t="s">
        <v>189</v>
      </c>
      <c r="B62" s="7" t="s">
        <v>200</v>
      </c>
      <c r="C62" s="7" t="s">
        <v>196</v>
      </c>
      <c r="E62" s="7" t="s">
        <v>263</v>
      </c>
      <c r="G62" s="12" t="s">
        <v>273</v>
      </c>
      <c r="H62" s="23"/>
      <c r="I62" s="23"/>
      <c r="J62" s="9">
        <v>79714858</v>
      </c>
      <c r="K62" s="7" t="s">
        <v>52</v>
      </c>
      <c r="L62" s="7" t="s">
        <v>53</v>
      </c>
      <c r="M62" s="7">
        <v>131.19999999999999</v>
      </c>
      <c r="N62" s="11">
        <v>124.64</v>
      </c>
      <c r="O62" s="11">
        <v>6.5599999999999881</v>
      </c>
      <c r="P62" s="10" t="s">
        <v>274</v>
      </c>
      <c r="Q62" s="11">
        <v>24</v>
      </c>
      <c r="R62" s="7">
        <v>100.64</v>
      </c>
      <c r="S62" s="7">
        <v>134.84</v>
      </c>
      <c r="T62" s="7">
        <v>128.1</v>
      </c>
      <c r="U62" s="7">
        <v>104.1</v>
      </c>
      <c r="V62" s="7">
        <v>132.12</v>
      </c>
      <c r="W62" s="7">
        <v>125.51</v>
      </c>
      <c r="X62" s="7">
        <v>101.51</v>
      </c>
      <c r="Y62" s="7">
        <v>10</v>
      </c>
      <c r="Z62" s="7">
        <v>8.4940312213039479E-2</v>
      </c>
      <c r="AA62" s="7">
        <v>3.6999999999999997</v>
      </c>
      <c r="AB62" s="7">
        <v>0.8548393021120293</v>
      </c>
      <c r="AC62" s="7">
        <v>37.236799999999995</v>
      </c>
      <c r="AD62" s="7">
        <v>0.23292682926829256</v>
      </c>
      <c r="AF62" s="7">
        <f>IF(PRICING[[#This Row],[SKU]]=J61,AF61+1,1)</f>
        <v>3</v>
      </c>
    </row>
    <row r="63" spans="1:32">
      <c r="A63" s="7" t="s">
        <v>189</v>
      </c>
      <c r="B63" s="7" t="s">
        <v>200</v>
      </c>
      <c r="C63" s="7" t="s">
        <v>219</v>
      </c>
      <c r="D63" s="7" t="s">
        <v>269</v>
      </c>
      <c r="E63" s="7" t="s">
        <v>263</v>
      </c>
      <c r="F63" s="7" t="s">
        <v>201</v>
      </c>
      <c r="G63" s="12" t="s">
        <v>202</v>
      </c>
      <c r="H63" s="23" t="s">
        <v>275</v>
      </c>
      <c r="I63" s="23"/>
      <c r="J63" s="9" t="s">
        <v>55</v>
      </c>
      <c r="K63" s="7" t="s">
        <v>57</v>
      </c>
      <c r="L63" s="7" t="s">
        <v>53</v>
      </c>
      <c r="M63" s="7">
        <v>166.4</v>
      </c>
      <c r="N63" s="11">
        <v>158.08000000000001</v>
      </c>
      <c r="O63" s="11">
        <v>8.3199999999999932</v>
      </c>
      <c r="R63" s="7">
        <v>158.08000000000001</v>
      </c>
      <c r="S63" s="7" t="s">
        <v>229</v>
      </c>
      <c r="T63" s="7" t="s">
        <v>229</v>
      </c>
      <c r="U63" s="7" t="s">
        <v>229</v>
      </c>
      <c r="V63" s="7">
        <v>167.56</v>
      </c>
      <c r="W63" s="7">
        <v>159.19</v>
      </c>
      <c r="X63" s="7">
        <v>159.19</v>
      </c>
      <c r="Y63" s="7">
        <v>10</v>
      </c>
      <c r="Z63" s="7">
        <v>0.17217630853994489</v>
      </c>
      <c r="AA63" s="7">
        <v>7.5</v>
      </c>
      <c r="AB63" s="7">
        <v>2.721763085399449</v>
      </c>
      <c r="AC63" s="7">
        <v>118.56000000000002</v>
      </c>
      <c r="AD63" s="7">
        <v>4.9999999999999933E-2</v>
      </c>
      <c r="AF63" s="7">
        <f>IF(PRICING[[#This Row],[SKU]]=J62,AF62+1,1)</f>
        <v>1</v>
      </c>
    </row>
    <row r="64" spans="1:32">
      <c r="A64" s="7" t="s">
        <v>189</v>
      </c>
      <c r="B64" s="7" t="s">
        <v>200</v>
      </c>
      <c r="C64" s="7" t="s">
        <v>219</v>
      </c>
      <c r="D64" s="7" t="s">
        <v>269</v>
      </c>
      <c r="E64" s="7" t="s">
        <v>263</v>
      </c>
      <c r="F64" s="7" t="s">
        <v>201</v>
      </c>
      <c r="G64" s="12" t="s">
        <v>202</v>
      </c>
      <c r="H64" s="13" t="s">
        <v>275</v>
      </c>
      <c r="I64" s="13"/>
      <c r="J64" s="9" t="s">
        <v>55</v>
      </c>
      <c r="K64" s="7" t="s">
        <v>57</v>
      </c>
      <c r="L64" s="7" t="s">
        <v>53</v>
      </c>
      <c r="M64" s="7">
        <v>166.4</v>
      </c>
      <c r="N64" s="7">
        <v>158.08000000000001</v>
      </c>
      <c r="O64" s="7">
        <v>8.3199999999999932</v>
      </c>
      <c r="P64" s="10" t="s">
        <v>239</v>
      </c>
      <c r="Q64" s="15">
        <v>12</v>
      </c>
      <c r="R64" s="7">
        <v>146.08000000000001</v>
      </c>
      <c r="S64" s="7" t="s">
        <v>229</v>
      </c>
      <c r="T64" s="7" t="s">
        <v>229</v>
      </c>
      <c r="U64" s="7" t="s">
        <v>229</v>
      </c>
      <c r="V64" s="7">
        <v>167.56</v>
      </c>
      <c r="W64" s="7">
        <v>159.19</v>
      </c>
      <c r="X64" s="7">
        <v>147.19</v>
      </c>
      <c r="Y64" s="7">
        <v>10</v>
      </c>
      <c r="Z64" s="7">
        <v>0.17217630853994489</v>
      </c>
      <c r="AA64" s="7">
        <v>7.5</v>
      </c>
      <c r="AB64" s="7">
        <v>2.5151515151515151</v>
      </c>
      <c r="AC64" s="7">
        <v>109.56</v>
      </c>
      <c r="AD64" s="7">
        <v>0.12211538461538463</v>
      </c>
      <c r="AF64" s="7">
        <f>IF(PRICING[[#This Row],[SKU]]=J63,AF63+1,1)</f>
        <v>2</v>
      </c>
    </row>
    <row r="65" spans="1:32">
      <c r="A65" s="7" t="s">
        <v>189</v>
      </c>
      <c r="B65" s="7" t="s">
        <v>200</v>
      </c>
      <c r="C65" s="7" t="s">
        <v>196</v>
      </c>
      <c r="E65" s="7" t="s">
        <v>263</v>
      </c>
      <c r="G65" s="12" t="s">
        <v>273</v>
      </c>
      <c r="H65" s="13" t="s">
        <v>275</v>
      </c>
      <c r="I65" s="13"/>
      <c r="J65" s="9" t="s">
        <v>55</v>
      </c>
      <c r="K65" s="7" t="s">
        <v>57</v>
      </c>
      <c r="L65" s="7" t="s">
        <v>53</v>
      </c>
      <c r="M65" s="7">
        <v>166.4</v>
      </c>
      <c r="N65" s="11">
        <v>158.08000000000001</v>
      </c>
      <c r="O65" s="11">
        <v>8.3199999999999932</v>
      </c>
      <c r="P65" s="10" t="s">
        <v>213</v>
      </c>
      <c r="Q65" s="15">
        <v>24</v>
      </c>
      <c r="R65" s="7">
        <v>134.08000000000001</v>
      </c>
      <c r="S65" s="7" t="s">
        <v>229</v>
      </c>
      <c r="T65" s="7" t="s">
        <v>229</v>
      </c>
      <c r="U65" s="7" t="s">
        <v>229</v>
      </c>
      <c r="V65" s="7">
        <v>167.56</v>
      </c>
      <c r="W65" s="7">
        <v>159.19</v>
      </c>
      <c r="X65" s="7">
        <v>135.19</v>
      </c>
      <c r="Y65" s="7">
        <v>10</v>
      </c>
      <c r="Z65" s="7">
        <v>0.17217630853994489</v>
      </c>
      <c r="AA65" s="7">
        <v>7.5</v>
      </c>
      <c r="AB65" s="7">
        <v>2.3085399449035813</v>
      </c>
      <c r="AC65" s="7">
        <v>100.56</v>
      </c>
      <c r="AD65" s="7">
        <v>0.19423076923076921</v>
      </c>
      <c r="AF65" s="7">
        <f>IF(PRICING[[#This Row],[SKU]]=J64,AF64+1,1)</f>
        <v>3</v>
      </c>
    </row>
    <row r="66" spans="1:32">
      <c r="A66" s="7" t="s">
        <v>234</v>
      </c>
      <c r="B66" s="7" t="s">
        <v>190</v>
      </c>
      <c r="C66" s="7" t="s">
        <v>219</v>
      </c>
      <c r="D66" s="7" t="s">
        <v>269</v>
      </c>
      <c r="E66" s="7" t="s">
        <v>263</v>
      </c>
      <c r="G66" s="7" t="s">
        <v>194</v>
      </c>
      <c r="J66" s="16">
        <v>11008357</v>
      </c>
      <c r="K66" s="7" t="s">
        <v>276</v>
      </c>
      <c r="L66" s="7" t="s">
        <v>83</v>
      </c>
      <c r="M66" s="7">
        <v>81.78</v>
      </c>
      <c r="N66" s="11">
        <v>81.78</v>
      </c>
      <c r="O66" s="11">
        <v>0</v>
      </c>
      <c r="P66" s="19"/>
      <c r="Q66" s="15">
        <v>14</v>
      </c>
      <c r="R66" s="7">
        <v>67.78</v>
      </c>
      <c r="Y66" s="7">
        <v>6</v>
      </c>
      <c r="Z66" s="7">
        <v>0</v>
      </c>
      <c r="AA66" s="7">
        <v>0</v>
      </c>
      <c r="AB66" s="7">
        <v>0</v>
      </c>
      <c r="AC66" s="7">
        <v>0</v>
      </c>
      <c r="AD66" s="7">
        <v>0.17119100024455858</v>
      </c>
      <c r="AF66" s="7">
        <f>IF(PRICING[[#This Row],[SKU]]=J65,AF65+1,1)</f>
        <v>1</v>
      </c>
    </row>
    <row r="67" spans="1:32">
      <c r="A67" s="7" t="s">
        <v>234</v>
      </c>
      <c r="B67" s="7" t="s">
        <v>200</v>
      </c>
      <c r="C67" s="7" t="s">
        <v>277</v>
      </c>
      <c r="D67" s="7" t="s">
        <v>192</v>
      </c>
      <c r="E67" s="7" t="s">
        <v>263</v>
      </c>
      <c r="G67" s="7" t="s">
        <v>194</v>
      </c>
      <c r="J67" s="16">
        <v>11008409</v>
      </c>
      <c r="K67" s="7" t="s">
        <v>278</v>
      </c>
      <c r="L67" s="7" t="s">
        <v>53</v>
      </c>
      <c r="M67" s="7">
        <v>94.8</v>
      </c>
      <c r="N67" s="11">
        <v>94.8</v>
      </c>
      <c r="O67" s="11">
        <v>0</v>
      </c>
      <c r="P67" s="19"/>
      <c r="Q67" s="15">
        <v>11</v>
      </c>
      <c r="R67" s="7">
        <v>83.8</v>
      </c>
      <c r="Y67" s="7">
        <v>10</v>
      </c>
      <c r="Z67" s="7">
        <v>0.23415977961432505</v>
      </c>
      <c r="AA67" s="7">
        <v>10.199999999999999</v>
      </c>
      <c r="AB67" s="7">
        <v>1.9622589531680437</v>
      </c>
      <c r="AC67" s="7">
        <v>85.475999999999985</v>
      </c>
      <c r="AD67" s="7">
        <v>0.11603375527426163</v>
      </c>
      <c r="AF67" s="7">
        <f>IF(PRICING[[#This Row],[SKU]]=J66,AF66+1,1)</f>
        <v>1</v>
      </c>
    </row>
    <row r="68" spans="1:32">
      <c r="A68" s="7" t="s">
        <v>234</v>
      </c>
      <c r="B68" s="7" t="s">
        <v>200</v>
      </c>
      <c r="C68" s="7" t="s">
        <v>277</v>
      </c>
      <c r="D68" s="7" t="s">
        <v>192</v>
      </c>
      <c r="E68" s="7" t="s">
        <v>263</v>
      </c>
      <c r="F68" s="7" t="s">
        <v>201</v>
      </c>
      <c r="G68" s="7" t="s">
        <v>194</v>
      </c>
      <c r="J68" s="16">
        <v>11008589</v>
      </c>
      <c r="K68" s="7" t="s">
        <v>278</v>
      </c>
      <c r="L68" s="7" t="s">
        <v>279</v>
      </c>
      <c r="M68" s="7">
        <v>504.8</v>
      </c>
      <c r="N68" s="11">
        <v>479.56</v>
      </c>
      <c r="O68" s="11">
        <v>25.240000000000009</v>
      </c>
      <c r="P68" s="19"/>
      <c r="Q68" s="15"/>
      <c r="R68" s="7">
        <v>479.56</v>
      </c>
      <c r="Y68" s="7">
        <v>60</v>
      </c>
      <c r="Z68" s="7">
        <v>0.23415977961432505</v>
      </c>
      <c r="AA68" s="7">
        <v>10.199999999999999</v>
      </c>
      <c r="AB68" s="7">
        <v>1.8715610651974286</v>
      </c>
      <c r="AC68" s="7">
        <v>81.525199999999998</v>
      </c>
      <c r="AD68" s="7">
        <v>5.0000000000000044E-2</v>
      </c>
      <c r="AF68" s="7">
        <f>IF(PRICING[[#This Row],[SKU]]=J67,AF67+1,1)</f>
        <v>1</v>
      </c>
    </row>
    <row r="69" spans="1:32">
      <c r="A69" s="7" t="s">
        <v>234</v>
      </c>
      <c r="B69" s="7" t="s">
        <v>200</v>
      </c>
      <c r="C69" s="7" t="s">
        <v>277</v>
      </c>
      <c r="D69" s="7" t="s">
        <v>192</v>
      </c>
      <c r="E69" s="7" t="s">
        <v>263</v>
      </c>
      <c r="F69" s="7" t="s">
        <v>201</v>
      </c>
      <c r="G69" s="7" t="s">
        <v>194</v>
      </c>
      <c r="J69" s="16">
        <v>11008589</v>
      </c>
      <c r="K69" s="7" t="s">
        <v>278</v>
      </c>
      <c r="L69" s="7" t="s">
        <v>279</v>
      </c>
      <c r="M69" s="7">
        <v>504.8</v>
      </c>
      <c r="N69" s="11">
        <v>479.56</v>
      </c>
      <c r="O69" s="11">
        <v>25.240000000000009</v>
      </c>
      <c r="P69" s="10" t="s">
        <v>239</v>
      </c>
      <c r="Q69" s="15">
        <v>60</v>
      </c>
      <c r="R69" s="7">
        <v>419.56</v>
      </c>
      <c r="Y69" s="7">
        <v>60</v>
      </c>
      <c r="Z69" s="7">
        <v>0.23415977961432505</v>
      </c>
      <c r="AA69" s="7">
        <v>10.199999999999999</v>
      </c>
      <c r="AB69" s="7">
        <v>1.6374012855831035</v>
      </c>
      <c r="AC69" s="7">
        <v>71.325199999999995</v>
      </c>
      <c r="AD69" s="7">
        <v>0.16885895404120443</v>
      </c>
      <c r="AF69" s="7">
        <f>IF(PRICING[[#This Row],[SKU]]=J68,AF68+1,1)</f>
        <v>2</v>
      </c>
    </row>
    <row r="70" spans="1:32">
      <c r="A70" s="7" t="s">
        <v>234</v>
      </c>
      <c r="B70" s="7" t="s">
        <v>200</v>
      </c>
      <c r="C70" s="7" t="s">
        <v>196</v>
      </c>
      <c r="E70" s="7" t="s">
        <v>263</v>
      </c>
      <c r="G70" s="7" t="s">
        <v>280</v>
      </c>
      <c r="J70" s="16">
        <v>11008589</v>
      </c>
      <c r="K70" s="7" t="s">
        <v>278</v>
      </c>
      <c r="L70" s="7" t="s">
        <v>279</v>
      </c>
      <c r="M70" s="7">
        <v>504.8</v>
      </c>
      <c r="N70" s="11">
        <v>479.56</v>
      </c>
      <c r="O70" s="11">
        <v>25.240000000000009</v>
      </c>
      <c r="P70" s="10" t="s">
        <v>213</v>
      </c>
      <c r="Q70" s="15">
        <v>150</v>
      </c>
      <c r="R70" s="7">
        <v>329.56</v>
      </c>
      <c r="Y70" s="7">
        <v>60</v>
      </c>
      <c r="Z70" s="7">
        <v>0.23415977961432505</v>
      </c>
      <c r="AA70" s="7">
        <v>10.199999999999999</v>
      </c>
      <c r="AB70" s="7">
        <v>1.2861616161616161</v>
      </c>
      <c r="AC70" s="7">
        <v>56.025199999999998</v>
      </c>
      <c r="AD70" s="7">
        <v>0.34714738510301113</v>
      </c>
      <c r="AF70" s="7">
        <f>IF(PRICING[[#This Row],[SKU]]=J69,AF69+1,1)</f>
        <v>3</v>
      </c>
    </row>
    <row r="71" spans="1:32">
      <c r="A71" s="7" t="s">
        <v>234</v>
      </c>
      <c r="B71" s="7" t="s">
        <v>190</v>
      </c>
      <c r="C71" s="7" t="s">
        <v>219</v>
      </c>
      <c r="D71" s="7" t="s">
        <v>269</v>
      </c>
      <c r="E71" s="7" t="s">
        <v>263</v>
      </c>
      <c r="G71" s="7" t="s">
        <v>194</v>
      </c>
      <c r="J71" s="16">
        <v>11008474</v>
      </c>
      <c r="K71" s="7" t="s">
        <v>281</v>
      </c>
      <c r="L71" s="7" t="s">
        <v>282</v>
      </c>
      <c r="M71" s="7">
        <v>186.66</v>
      </c>
      <c r="N71" s="11">
        <v>186.66</v>
      </c>
      <c r="O71" s="11">
        <v>0</v>
      </c>
      <c r="Q71" s="15">
        <v>24</v>
      </c>
      <c r="R71" s="7">
        <v>162.66</v>
      </c>
      <c r="Y71" s="7">
        <v>16</v>
      </c>
      <c r="Z71" s="7">
        <v>0.21808999081726355</v>
      </c>
      <c r="AA71" s="7">
        <v>9.5</v>
      </c>
      <c r="AB71" s="7">
        <v>2.2171573691460056</v>
      </c>
      <c r="AC71" s="7">
        <v>96.579374999999999</v>
      </c>
      <c r="AD71" s="7">
        <v>0.12857602057216333</v>
      </c>
      <c r="AF71" s="7">
        <f>IF(PRICING[[#This Row],[SKU]]=J70,AF70+1,1)</f>
        <v>1</v>
      </c>
    </row>
    <row r="72" spans="1:32">
      <c r="A72" s="7" t="s">
        <v>234</v>
      </c>
      <c r="B72" s="7" t="s">
        <v>190</v>
      </c>
      <c r="C72" s="7" t="s">
        <v>219</v>
      </c>
      <c r="D72" s="7" t="s">
        <v>192</v>
      </c>
      <c r="E72" s="7" t="s">
        <v>263</v>
      </c>
      <c r="G72" s="12" t="s">
        <v>207</v>
      </c>
      <c r="H72" s="25"/>
      <c r="I72" s="13"/>
      <c r="J72" s="16">
        <v>11008475</v>
      </c>
      <c r="K72" s="12" t="s">
        <v>283</v>
      </c>
      <c r="L72" s="12" t="s">
        <v>83</v>
      </c>
      <c r="M72" s="7">
        <v>81.78</v>
      </c>
      <c r="N72" s="7">
        <v>81.78</v>
      </c>
      <c r="O72" s="7">
        <v>0</v>
      </c>
      <c r="Q72" s="15">
        <v>14</v>
      </c>
      <c r="R72" s="7">
        <v>67.78</v>
      </c>
      <c r="Y72" s="7">
        <v>6</v>
      </c>
      <c r="Z72" s="7">
        <v>0.18365472910927455</v>
      </c>
      <c r="AA72" s="7">
        <v>8</v>
      </c>
      <c r="AB72" s="7">
        <v>2.0746862565044384</v>
      </c>
      <c r="AC72" s="7">
        <v>90.373333333333335</v>
      </c>
      <c r="AD72" s="7">
        <v>0.17119100024455858</v>
      </c>
      <c r="AF72" s="7">
        <f>IF(PRICING[[#This Row],[SKU]]=J71,AF71+1,1)</f>
        <v>1</v>
      </c>
    </row>
    <row r="73" spans="1:32">
      <c r="A73" s="7" t="s">
        <v>234</v>
      </c>
      <c r="B73" s="7" t="s">
        <v>190</v>
      </c>
      <c r="C73" s="7" t="s">
        <v>219</v>
      </c>
      <c r="D73" s="7" t="s">
        <v>192</v>
      </c>
      <c r="E73" s="7" t="s">
        <v>263</v>
      </c>
      <c r="G73" s="12" t="s">
        <v>207</v>
      </c>
      <c r="H73" s="13"/>
      <c r="I73" s="13"/>
      <c r="J73" s="16">
        <v>11008336</v>
      </c>
      <c r="K73" s="12" t="s">
        <v>283</v>
      </c>
      <c r="L73" s="12" t="s">
        <v>47</v>
      </c>
      <c r="M73" s="7">
        <v>363.59999999999997</v>
      </c>
      <c r="N73" s="11">
        <v>363.59999999999997</v>
      </c>
      <c r="O73" s="11">
        <v>0</v>
      </c>
      <c r="Q73" s="11">
        <v>40</v>
      </c>
      <c r="R73" s="7">
        <v>323.59999999999997</v>
      </c>
      <c r="Y73" s="7">
        <v>64</v>
      </c>
      <c r="Z73" s="7">
        <v>0.18365472910927455</v>
      </c>
      <c r="AA73" s="7">
        <v>8</v>
      </c>
      <c r="AB73" s="7">
        <v>0.9286042240587693</v>
      </c>
      <c r="AC73" s="7">
        <v>40.449999999999996</v>
      </c>
      <c r="AD73" s="7">
        <v>0.11001100110010997</v>
      </c>
      <c r="AF73" s="7">
        <f>IF(PRICING[[#This Row],[SKU]]=J72,AF72+1,1)</f>
        <v>1</v>
      </c>
    </row>
    <row r="74" spans="1:32">
      <c r="A74" s="7" t="s">
        <v>234</v>
      </c>
      <c r="B74" s="7" t="s">
        <v>200</v>
      </c>
      <c r="C74" s="7" t="s">
        <v>219</v>
      </c>
      <c r="D74" s="7" t="s">
        <v>192</v>
      </c>
      <c r="E74" s="7" t="s">
        <v>263</v>
      </c>
      <c r="F74" s="7" t="s">
        <v>201</v>
      </c>
      <c r="G74" s="12" t="s">
        <v>194</v>
      </c>
      <c r="H74" s="13"/>
      <c r="I74" s="13"/>
      <c r="J74" s="16">
        <v>11008464</v>
      </c>
      <c r="K74" s="7" t="s">
        <v>284</v>
      </c>
      <c r="L74" s="7" t="s">
        <v>66</v>
      </c>
      <c r="M74" s="7">
        <v>454</v>
      </c>
      <c r="N74" s="11">
        <v>431.3</v>
      </c>
      <c r="O74" s="11">
        <v>22.699999999999989</v>
      </c>
      <c r="Q74" s="15"/>
      <c r="R74" s="7">
        <v>431.3</v>
      </c>
      <c r="Y74" s="7">
        <v>128</v>
      </c>
      <c r="Z74" s="7">
        <v>0.55096418732782371</v>
      </c>
      <c r="AA74" s="7">
        <v>24.000000000000004</v>
      </c>
      <c r="AB74" s="7">
        <v>1.856491046831956</v>
      </c>
      <c r="AC74" s="7">
        <v>80.86875000000002</v>
      </c>
      <c r="AD74" s="7">
        <v>4.9999999999999933E-2</v>
      </c>
      <c r="AF74" s="7">
        <f>IF(PRICING[[#This Row],[SKU]]=J73,AF73+1,1)</f>
        <v>1</v>
      </c>
    </row>
    <row r="75" spans="1:32">
      <c r="A75" s="7" t="s">
        <v>234</v>
      </c>
      <c r="B75" s="7" t="s">
        <v>200</v>
      </c>
      <c r="C75" s="7" t="s">
        <v>219</v>
      </c>
      <c r="D75" s="7" t="s">
        <v>192</v>
      </c>
      <c r="E75" s="7" t="s">
        <v>263</v>
      </c>
      <c r="F75" s="7" t="s">
        <v>201</v>
      </c>
      <c r="G75" s="7" t="s">
        <v>194</v>
      </c>
      <c r="J75" s="16">
        <v>11008464</v>
      </c>
      <c r="K75" s="12" t="s">
        <v>284</v>
      </c>
      <c r="L75" s="12" t="s">
        <v>66</v>
      </c>
      <c r="M75" s="21">
        <v>454</v>
      </c>
      <c r="N75" s="21">
        <v>431.3</v>
      </c>
      <c r="O75" s="21">
        <v>22.699999999999989</v>
      </c>
      <c r="P75" s="10" t="s">
        <v>239</v>
      </c>
      <c r="Q75" s="11">
        <v>145</v>
      </c>
      <c r="R75" s="7">
        <v>286.3</v>
      </c>
      <c r="Y75" s="7">
        <v>128</v>
      </c>
      <c r="Z75" s="7">
        <v>0.55096418732782371</v>
      </c>
      <c r="AA75" s="7">
        <v>24.000000000000004</v>
      </c>
      <c r="AB75" s="7">
        <v>1.2323519283746558</v>
      </c>
      <c r="AC75" s="7">
        <v>53.681250000000013</v>
      </c>
      <c r="AD75" s="7">
        <v>0.36938325991189425</v>
      </c>
      <c r="AF75" s="7">
        <f>IF(PRICING[[#This Row],[SKU]]=J74,AF74+1,1)</f>
        <v>2</v>
      </c>
    </row>
    <row r="76" spans="1:32">
      <c r="A76" s="7" t="s">
        <v>189</v>
      </c>
      <c r="B76" s="7" t="s">
        <v>200</v>
      </c>
      <c r="C76" s="7" t="s">
        <v>285</v>
      </c>
      <c r="E76" s="7" t="s">
        <v>263</v>
      </c>
      <c r="G76" s="12" t="s">
        <v>286</v>
      </c>
      <c r="H76" s="29" t="s">
        <v>287</v>
      </c>
      <c r="I76" s="13"/>
      <c r="J76" s="9" t="s">
        <v>137</v>
      </c>
      <c r="K76" s="12" t="s">
        <v>288</v>
      </c>
      <c r="L76" s="12" t="s">
        <v>47</v>
      </c>
      <c r="M76" s="21">
        <v>1156.8</v>
      </c>
      <c r="N76" s="21">
        <v>1156.8</v>
      </c>
      <c r="O76" s="21">
        <v>0</v>
      </c>
      <c r="P76" s="10" t="s">
        <v>289</v>
      </c>
      <c r="Q76" s="15"/>
      <c r="R76" s="7">
        <v>1156.8</v>
      </c>
      <c r="AD76" s="7">
        <v>0</v>
      </c>
      <c r="AF76" s="7">
        <f>IF(PRICING[[#This Row],[SKU]]=J75,AF75+1,1)</f>
        <v>1</v>
      </c>
    </row>
    <row r="77" spans="1:32">
      <c r="A77" s="7" t="s">
        <v>189</v>
      </c>
      <c r="B77" s="7" t="s">
        <v>200</v>
      </c>
      <c r="C77" s="7" t="s">
        <v>285</v>
      </c>
      <c r="E77" s="7" t="s">
        <v>263</v>
      </c>
      <c r="G77" s="12" t="s">
        <v>286</v>
      </c>
      <c r="H77" s="13" t="s">
        <v>287</v>
      </c>
      <c r="I77" s="13"/>
      <c r="J77" s="9" t="s">
        <v>137</v>
      </c>
      <c r="K77" s="7" t="s">
        <v>288</v>
      </c>
      <c r="L77" s="7" t="s">
        <v>47</v>
      </c>
      <c r="M77" s="11">
        <v>1156.8</v>
      </c>
      <c r="N77" s="11">
        <v>1098.96</v>
      </c>
      <c r="O77" s="11">
        <v>57.839999999999918</v>
      </c>
      <c r="P77" s="10" t="s">
        <v>290</v>
      </c>
      <c r="Q77" s="15"/>
      <c r="R77" s="7">
        <v>1098.96</v>
      </c>
      <c r="AF77" s="7">
        <f>IF(PRICING[[#This Row],[SKU]]=J76,AF76+1,1)</f>
        <v>2</v>
      </c>
    </row>
    <row r="78" spans="1:32">
      <c r="A78" s="7" t="s">
        <v>189</v>
      </c>
      <c r="B78" s="7" t="s">
        <v>200</v>
      </c>
      <c r="C78" s="7" t="s">
        <v>285</v>
      </c>
      <c r="E78" s="7" t="s">
        <v>263</v>
      </c>
      <c r="G78" s="12" t="s">
        <v>286</v>
      </c>
      <c r="H78" s="13" t="s">
        <v>287</v>
      </c>
      <c r="I78" s="13"/>
      <c r="J78" s="16" t="s">
        <v>137</v>
      </c>
      <c r="K78" s="12" t="s">
        <v>288</v>
      </c>
      <c r="L78" s="12" t="s">
        <v>47</v>
      </c>
      <c r="M78" s="7">
        <v>1156.8</v>
      </c>
      <c r="N78" s="7">
        <v>1041.1199999999999</v>
      </c>
      <c r="O78" s="7">
        <v>115.68000000000006</v>
      </c>
      <c r="P78" s="10" t="s">
        <v>239</v>
      </c>
      <c r="Q78" s="15"/>
      <c r="R78" s="7">
        <v>1041.1199999999999</v>
      </c>
      <c r="AF78" s="7">
        <f>IF(PRICING[[#This Row],[SKU]]=J77,AF77+1,1)</f>
        <v>3</v>
      </c>
    </row>
    <row r="79" spans="1:32">
      <c r="A79" s="7" t="s">
        <v>189</v>
      </c>
      <c r="B79" s="7" t="s">
        <v>200</v>
      </c>
      <c r="C79" s="7" t="s">
        <v>285</v>
      </c>
      <c r="E79" s="7" t="s">
        <v>263</v>
      </c>
      <c r="G79" s="12" t="s">
        <v>286</v>
      </c>
      <c r="H79" s="13" t="s">
        <v>291</v>
      </c>
      <c r="I79" s="13"/>
      <c r="J79" s="9" t="s">
        <v>138</v>
      </c>
      <c r="K79" s="7" t="s">
        <v>292</v>
      </c>
      <c r="L79" s="7" t="s">
        <v>80</v>
      </c>
      <c r="M79" s="21">
        <v>126.5</v>
      </c>
      <c r="N79" s="21">
        <v>126.5</v>
      </c>
      <c r="O79" s="21">
        <v>0</v>
      </c>
      <c r="P79" s="10" t="s">
        <v>293</v>
      </c>
      <c r="R79" s="7">
        <v>126.5</v>
      </c>
      <c r="AD79" s="7">
        <v>0</v>
      </c>
      <c r="AF79" s="7">
        <f>IF(PRICING[[#This Row],[SKU]]=J78,AF78+1,1)</f>
        <v>1</v>
      </c>
    </row>
    <row r="80" spans="1:32">
      <c r="A80" s="7" t="s">
        <v>189</v>
      </c>
      <c r="B80" s="7" t="s">
        <v>200</v>
      </c>
      <c r="C80" s="7" t="s">
        <v>285</v>
      </c>
      <c r="E80" s="7" t="s">
        <v>263</v>
      </c>
      <c r="G80" s="12" t="s">
        <v>286</v>
      </c>
      <c r="H80" s="13" t="s">
        <v>291</v>
      </c>
      <c r="I80" s="13"/>
      <c r="J80" s="9" t="s">
        <v>138</v>
      </c>
      <c r="K80" s="7" t="s">
        <v>292</v>
      </c>
      <c r="L80" s="7" t="s">
        <v>80</v>
      </c>
      <c r="M80" s="21">
        <v>126.5</v>
      </c>
      <c r="N80" s="21">
        <v>120.18</v>
      </c>
      <c r="O80" s="21">
        <v>6.3199999999999932</v>
      </c>
      <c r="P80" s="10" t="s">
        <v>294</v>
      </c>
      <c r="Q80" s="15"/>
      <c r="R80" s="7">
        <v>120.18</v>
      </c>
      <c r="AF80" s="7">
        <f>IF(PRICING[[#This Row],[SKU]]=J79,AF79+1,1)</f>
        <v>2</v>
      </c>
    </row>
    <row r="81" spans="1:32">
      <c r="A81" s="7" t="s">
        <v>189</v>
      </c>
      <c r="B81" s="7" t="s">
        <v>200</v>
      </c>
      <c r="C81" s="7" t="s">
        <v>285</v>
      </c>
      <c r="E81" s="7" t="s">
        <v>263</v>
      </c>
      <c r="G81" s="12" t="s">
        <v>286</v>
      </c>
      <c r="H81" s="29" t="s">
        <v>291</v>
      </c>
      <c r="I81" s="13"/>
      <c r="J81" s="9" t="s">
        <v>138</v>
      </c>
      <c r="K81" s="7" t="s">
        <v>292</v>
      </c>
      <c r="L81" s="7" t="s">
        <v>80</v>
      </c>
      <c r="M81" s="21">
        <v>126.5</v>
      </c>
      <c r="N81" s="21">
        <v>113.85</v>
      </c>
      <c r="O81" s="21">
        <v>12.650000000000006</v>
      </c>
      <c r="P81" s="10" t="s">
        <v>295</v>
      </c>
      <c r="R81" s="7">
        <v>113.85</v>
      </c>
      <c r="AF81" s="7">
        <f>IF(PRICING[[#This Row],[SKU]]=J80,AF80+1,1)</f>
        <v>3</v>
      </c>
    </row>
    <row r="82" spans="1:32">
      <c r="A82" s="7" t="s">
        <v>189</v>
      </c>
      <c r="B82" s="7" t="s">
        <v>190</v>
      </c>
      <c r="C82" s="7" t="s">
        <v>191</v>
      </c>
      <c r="D82" s="7" t="s">
        <v>192</v>
      </c>
      <c r="E82" s="7" t="s">
        <v>263</v>
      </c>
      <c r="G82" s="12" t="s">
        <v>194</v>
      </c>
      <c r="H82" s="13"/>
      <c r="I82" s="13"/>
      <c r="J82" s="9">
        <v>86215578</v>
      </c>
      <c r="K82" s="7" t="s">
        <v>296</v>
      </c>
      <c r="L82" s="7" t="s">
        <v>204</v>
      </c>
      <c r="M82" s="7">
        <v>441.9</v>
      </c>
      <c r="N82" s="11">
        <v>441.9</v>
      </c>
      <c r="O82" s="11">
        <v>0</v>
      </c>
      <c r="Q82" s="15">
        <v>22</v>
      </c>
      <c r="R82" s="7">
        <v>419.9</v>
      </c>
      <c r="Y82" s="7">
        <v>320</v>
      </c>
      <c r="Z82" s="7">
        <v>1.9513314967860422</v>
      </c>
      <c r="AA82" s="7">
        <v>85</v>
      </c>
      <c r="AB82" s="7">
        <v>2.5605127984389346</v>
      </c>
      <c r="AC82" s="7">
        <v>111.53593749999999</v>
      </c>
      <c r="AD82" s="7">
        <v>4.978501923512102E-2</v>
      </c>
      <c r="AF82" s="7">
        <f>IF(PRICING[[#This Row],[SKU]]=J81,AF81+1,1)</f>
        <v>1</v>
      </c>
    </row>
    <row r="83" spans="1:32">
      <c r="A83" s="7" t="s">
        <v>189</v>
      </c>
      <c r="B83" s="7" t="s">
        <v>190</v>
      </c>
      <c r="C83" s="7" t="s">
        <v>191</v>
      </c>
      <c r="D83" s="7" t="s">
        <v>192</v>
      </c>
      <c r="E83" s="7" t="s">
        <v>263</v>
      </c>
      <c r="G83" s="12" t="s">
        <v>194</v>
      </c>
      <c r="H83" s="13" t="s">
        <v>297</v>
      </c>
      <c r="I83" s="13"/>
      <c r="J83" s="9" t="s">
        <v>139</v>
      </c>
      <c r="K83" s="7" t="s">
        <v>298</v>
      </c>
      <c r="L83" s="7" t="s">
        <v>204</v>
      </c>
      <c r="M83" s="7">
        <v>122.69999999999999</v>
      </c>
      <c r="N83" s="11">
        <v>122.69999999999999</v>
      </c>
      <c r="O83" s="11">
        <v>0</v>
      </c>
      <c r="Q83" s="15"/>
      <c r="R83" s="7">
        <v>122.69999999999999</v>
      </c>
      <c r="Y83" s="7">
        <v>320</v>
      </c>
      <c r="Z83" s="7">
        <v>5</v>
      </c>
      <c r="AA83" s="7">
        <v>217.8</v>
      </c>
      <c r="AB83" s="7">
        <v>1.9171874999999998</v>
      </c>
      <c r="AC83" s="7">
        <v>83.512687499999998</v>
      </c>
      <c r="AD83" s="7">
        <v>0</v>
      </c>
      <c r="AF83" s="7">
        <f>IF(PRICING[[#This Row],[SKU]]=J82,AF82+1,1)</f>
        <v>1</v>
      </c>
    </row>
    <row r="84" spans="1:32">
      <c r="A84" s="7" t="s">
        <v>234</v>
      </c>
      <c r="B84" s="7" t="s">
        <v>190</v>
      </c>
      <c r="C84" s="7" t="s">
        <v>219</v>
      </c>
      <c r="D84" s="7" t="s">
        <v>192</v>
      </c>
      <c r="E84" s="7" t="s">
        <v>263</v>
      </c>
      <c r="G84" s="12" t="s">
        <v>194</v>
      </c>
      <c r="H84" s="13"/>
      <c r="I84" s="13"/>
      <c r="J84" s="16">
        <v>11008447</v>
      </c>
      <c r="K84" s="12" t="s">
        <v>299</v>
      </c>
      <c r="L84" s="12" t="s">
        <v>300</v>
      </c>
      <c r="M84" s="7">
        <v>199.92</v>
      </c>
      <c r="N84" s="7">
        <v>199.92</v>
      </c>
      <c r="O84" s="7">
        <v>0</v>
      </c>
      <c r="Q84" s="24">
        <v>20</v>
      </c>
      <c r="R84" s="7">
        <v>179.92</v>
      </c>
      <c r="Y84" s="7">
        <v>8</v>
      </c>
      <c r="Z84" s="7">
        <v>2.7548209366391182E-2</v>
      </c>
      <c r="AA84" s="7">
        <v>1.2</v>
      </c>
      <c r="AB84" s="7">
        <v>0.61955922865013768</v>
      </c>
      <c r="AC84" s="7">
        <v>26.987999999999996</v>
      </c>
      <c r="AD84" s="7">
        <v>0.10004001600640255</v>
      </c>
      <c r="AF84" s="7">
        <f>IF(PRICING[[#This Row],[SKU]]=J83,AF83+1,1)</f>
        <v>1</v>
      </c>
    </row>
    <row r="85" spans="1:32">
      <c r="A85" s="7" t="s">
        <v>189</v>
      </c>
      <c r="B85" s="7" t="s">
        <v>200</v>
      </c>
      <c r="C85" s="7" t="s">
        <v>219</v>
      </c>
      <c r="D85" s="7" t="s">
        <v>269</v>
      </c>
      <c r="E85" s="7" t="s">
        <v>263</v>
      </c>
      <c r="F85" s="7" t="s">
        <v>201</v>
      </c>
      <c r="G85" s="12" t="s">
        <v>202</v>
      </c>
      <c r="H85" s="29"/>
      <c r="I85" s="13"/>
      <c r="J85" s="9">
        <v>79545312</v>
      </c>
      <c r="K85" s="7" t="s">
        <v>59</v>
      </c>
      <c r="L85" s="7" t="s">
        <v>60</v>
      </c>
      <c r="M85" s="7">
        <v>765.6</v>
      </c>
      <c r="N85" s="11">
        <v>727.32</v>
      </c>
      <c r="O85" s="11">
        <v>38.279999999999973</v>
      </c>
      <c r="Q85" s="15"/>
      <c r="R85" s="7">
        <v>727.32</v>
      </c>
      <c r="S85" s="7">
        <v>786.85</v>
      </c>
      <c r="T85" s="7">
        <v>747.5</v>
      </c>
      <c r="U85" s="7">
        <v>747.5</v>
      </c>
      <c r="V85" s="7">
        <v>770.96</v>
      </c>
      <c r="W85" s="7">
        <v>732.41</v>
      </c>
      <c r="X85" s="7">
        <v>732.41</v>
      </c>
      <c r="Y85" s="7">
        <v>87</v>
      </c>
      <c r="Z85" s="7">
        <v>0.3994490358126721</v>
      </c>
      <c r="AA85" s="7">
        <v>17.399999999999999</v>
      </c>
      <c r="AB85" s="7">
        <v>3.3393939393939394</v>
      </c>
      <c r="AC85" s="7">
        <v>145.464</v>
      </c>
      <c r="AD85" s="7">
        <v>4.9999999999999933E-2</v>
      </c>
      <c r="AF85" s="7">
        <f>IF(PRICING[[#This Row],[SKU]]=J84,AF84+1,1)</f>
        <v>1</v>
      </c>
    </row>
    <row r="86" spans="1:32">
      <c r="A86" s="7" t="s">
        <v>189</v>
      </c>
      <c r="B86" s="7" t="s">
        <v>200</v>
      </c>
      <c r="C86" s="7" t="s">
        <v>219</v>
      </c>
      <c r="D86" s="7" t="s">
        <v>269</v>
      </c>
      <c r="E86" s="7" t="s">
        <v>263</v>
      </c>
      <c r="F86" s="7" t="s">
        <v>201</v>
      </c>
      <c r="G86" s="12" t="s">
        <v>202</v>
      </c>
      <c r="H86" s="13"/>
      <c r="I86" s="13"/>
      <c r="J86" s="16">
        <v>79545312</v>
      </c>
      <c r="K86" s="12" t="s">
        <v>59</v>
      </c>
      <c r="L86" s="12" t="s">
        <v>60</v>
      </c>
      <c r="M86" s="7">
        <v>765.6</v>
      </c>
      <c r="N86" s="7">
        <v>727.32</v>
      </c>
      <c r="O86" s="7">
        <v>38.279999999999973</v>
      </c>
      <c r="P86" s="10" t="s">
        <v>239</v>
      </c>
      <c r="Q86" s="15">
        <v>50</v>
      </c>
      <c r="R86" s="7">
        <v>677.32</v>
      </c>
      <c r="S86" s="7">
        <v>786.85</v>
      </c>
      <c r="T86" s="7">
        <v>747.5</v>
      </c>
      <c r="U86" s="7">
        <v>697.5</v>
      </c>
      <c r="V86" s="7">
        <v>770.96</v>
      </c>
      <c r="W86" s="7">
        <v>732.41</v>
      </c>
      <c r="X86" s="7">
        <v>682.41</v>
      </c>
      <c r="Y86" s="7">
        <v>87</v>
      </c>
      <c r="Z86" s="7">
        <v>0.3994490358126721</v>
      </c>
      <c r="AA86" s="7">
        <v>17.399999999999999</v>
      </c>
      <c r="AB86" s="7">
        <v>3.1098255280073461</v>
      </c>
      <c r="AC86" s="7">
        <v>135.464</v>
      </c>
      <c r="AD86" s="7">
        <v>0.11530825496342734</v>
      </c>
      <c r="AF86" s="7">
        <f>IF(PRICING[[#This Row],[SKU]]=J85,AF85+1,1)</f>
        <v>2</v>
      </c>
    </row>
    <row r="87" spans="1:32">
      <c r="A87" s="7" t="s">
        <v>189</v>
      </c>
      <c r="B87" s="7" t="s">
        <v>200</v>
      </c>
      <c r="C87" s="7" t="s">
        <v>196</v>
      </c>
      <c r="E87" s="7" t="s">
        <v>263</v>
      </c>
      <c r="G87" s="12" t="s">
        <v>273</v>
      </c>
      <c r="H87" s="23"/>
      <c r="I87" s="13"/>
      <c r="J87" s="9">
        <v>79545312</v>
      </c>
      <c r="K87" s="7" t="s">
        <v>59</v>
      </c>
      <c r="L87" s="7" t="s">
        <v>60</v>
      </c>
      <c r="M87" s="7">
        <v>765.6</v>
      </c>
      <c r="N87" s="11">
        <v>727.32</v>
      </c>
      <c r="O87" s="11">
        <v>38.279999999999973</v>
      </c>
      <c r="P87" s="10" t="s">
        <v>213</v>
      </c>
      <c r="Q87" s="11">
        <v>100</v>
      </c>
      <c r="R87" s="7">
        <v>627.32000000000005</v>
      </c>
      <c r="S87" s="7">
        <v>786.85</v>
      </c>
      <c r="T87" s="7">
        <v>747.5</v>
      </c>
      <c r="U87" s="7">
        <v>647.5</v>
      </c>
      <c r="V87" s="7">
        <v>770.96</v>
      </c>
      <c r="W87" s="7">
        <v>732.41</v>
      </c>
      <c r="X87" s="7">
        <v>632.41</v>
      </c>
      <c r="Y87" s="7">
        <v>87</v>
      </c>
      <c r="Z87" s="7">
        <v>0.3994490358126721</v>
      </c>
      <c r="AA87" s="7">
        <v>17.399999999999999</v>
      </c>
      <c r="AB87" s="7">
        <v>2.8802571166207525</v>
      </c>
      <c r="AC87" s="7">
        <v>125.464</v>
      </c>
      <c r="AD87" s="7">
        <v>0.18061650992685474</v>
      </c>
      <c r="AF87" s="7">
        <f>IF(PRICING[[#This Row],[SKU]]=J86,AF86+1,1)</f>
        <v>3</v>
      </c>
    </row>
    <row r="88" spans="1:32">
      <c r="A88" s="7" t="s">
        <v>189</v>
      </c>
      <c r="B88" s="7" t="s">
        <v>190</v>
      </c>
      <c r="C88" s="7" t="s">
        <v>219</v>
      </c>
      <c r="D88" s="7" t="s">
        <v>269</v>
      </c>
      <c r="E88" s="7" t="s">
        <v>263</v>
      </c>
      <c r="G88" s="12" t="s">
        <v>194</v>
      </c>
      <c r="H88" s="23"/>
      <c r="I88" s="13"/>
      <c r="J88" s="9">
        <v>79850980</v>
      </c>
      <c r="K88" s="7" t="s">
        <v>59</v>
      </c>
      <c r="L88" s="7" t="s">
        <v>301</v>
      </c>
      <c r="M88" s="7">
        <v>349.73999999999995</v>
      </c>
      <c r="N88" s="11">
        <v>349.73999999999995</v>
      </c>
      <c r="O88" s="11">
        <v>0</v>
      </c>
      <c r="Q88" s="11">
        <v>21</v>
      </c>
      <c r="R88" s="7">
        <v>328.73999999999995</v>
      </c>
      <c r="Y88" s="7">
        <v>32</v>
      </c>
      <c r="Z88" s="7">
        <v>0.3994490358126721</v>
      </c>
      <c r="AA88" s="7">
        <v>17.399999999999999</v>
      </c>
      <c r="AB88" s="7">
        <v>4.1035898760330562</v>
      </c>
      <c r="AC88" s="7">
        <v>178.75237499999997</v>
      </c>
      <c r="AD88" s="7">
        <v>6.0044604563390003E-2</v>
      </c>
      <c r="AF88" s="7">
        <f>IF(PRICING[[#This Row],[SKU]]=J87,AF87+1,1)</f>
        <v>1</v>
      </c>
    </row>
    <row r="89" spans="1:32">
      <c r="A89" s="7" t="s">
        <v>189</v>
      </c>
      <c r="B89" s="7" t="s">
        <v>200</v>
      </c>
      <c r="C89" s="7" t="s">
        <v>191</v>
      </c>
      <c r="D89" s="7" t="s">
        <v>269</v>
      </c>
      <c r="E89" s="7" t="s">
        <v>263</v>
      </c>
      <c r="G89" s="12" t="s">
        <v>194</v>
      </c>
      <c r="H89" s="13">
        <v>80847505</v>
      </c>
      <c r="I89" s="13"/>
      <c r="J89" s="9" t="s">
        <v>140</v>
      </c>
      <c r="K89" s="7" t="s">
        <v>302</v>
      </c>
      <c r="L89" s="7" t="s">
        <v>50</v>
      </c>
      <c r="M89" s="7">
        <v>552</v>
      </c>
      <c r="N89" s="7">
        <v>552</v>
      </c>
      <c r="O89" s="7">
        <v>0</v>
      </c>
      <c r="P89" s="10" t="s">
        <v>303</v>
      </c>
      <c r="R89" s="7">
        <v>552</v>
      </c>
      <c r="Y89" s="7">
        <v>320</v>
      </c>
      <c r="Z89" s="7">
        <v>1.9972451790633607</v>
      </c>
      <c r="AA89" s="7">
        <v>87</v>
      </c>
      <c r="AB89" s="7">
        <v>3.4452479338842976</v>
      </c>
      <c r="AC89" s="7">
        <v>150.07500000000002</v>
      </c>
      <c r="AD89" s="7">
        <v>0</v>
      </c>
      <c r="AF89" s="7">
        <f>IF(PRICING[[#This Row],[SKU]]=J88,AF88+1,1)</f>
        <v>1</v>
      </c>
    </row>
    <row r="90" spans="1:32">
      <c r="A90" s="7" t="s">
        <v>189</v>
      </c>
      <c r="B90" s="7" t="s">
        <v>200</v>
      </c>
      <c r="C90" s="7" t="s">
        <v>191</v>
      </c>
      <c r="D90" s="7" t="s">
        <v>269</v>
      </c>
      <c r="E90" s="7" t="s">
        <v>263</v>
      </c>
      <c r="G90" s="12" t="s">
        <v>194</v>
      </c>
      <c r="H90" s="13">
        <v>80847505</v>
      </c>
      <c r="I90" s="13"/>
      <c r="J90" s="9" t="s">
        <v>140</v>
      </c>
      <c r="K90" s="7" t="s">
        <v>302</v>
      </c>
      <c r="L90" s="7" t="s">
        <v>50</v>
      </c>
      <c r="M90" s="7">
        <v>453</v>
      </c>
      <c r="N90" s="7">
        <v>393</v>
      </c>
      <c r="O90" s="7">
        <v>60</v>
      </c>
      <c r="P90" s="10" t="s">
        <v>304</v>
      </c>
      <c r="R90" s="7">
        <v>393</v>
      </c>
      <c r="Y90" s="7">
        <v>320</v>
      </c>
      <c r="Z90" s="7">
        <v>1.9972451790633607</v>
      </c>
      <c r="AA90" s="7">
        <v>87</v>
      </c>
      <c r="AB90" s="7">
        <v>2.4528667355371896</v>
      </c>
      <c r="AC90" s="7">
        <v>106.846875</v>
      </c>
      <c r="AD90" s="7">
        <v>0.13245033112582782</v>
      </c>
      <c r="AF90" s="7">
        <f>IF(PRICING[[#This Row],[SKU]]=J89,AF89+1,1)</f>
        <v>2</v>
      </c>
    </row>
    <row r="91" spans="1:32">
      <c r="A91" s="7" t="s">
        <v>189</v>
      </c>
      <c r="B91" s="7" t="s">
        <v>200</v>
      </c>
      <c r="C91" s="7" t="s">
        <v>191</v>
      </c>
      <c r="D91" s="7" t="s">
        <v>269</v>
      </c>
      <c r="E91" s="7" t="s">
        <v>263</v>
      </c>
      <c r="G91" s="12" t="s">
        <v>194</v>
      </c>
      <c r="H91" s="13">
        <v>80847505</v>
      </c>
      <c r="I91" s="13"/>
      <c r="J91" s="9" t="s">
        <v>140</v>
      </c>
      <c r="K91" s="7" t="s">
        <v>302</v>
      </c>
      <c r="L91" s="7" t="s">
        <v>50</v>
      </c>
      <c r="M91" s="7">
        <v>393</v>
      </c>
      <c r="N91" s="7">
        <v>393</v>
      </c>
      <c r="O91" s="7">
        <v>0</v>
      </c>
      <c r="P91" s="10" t="s">
        <v>305</v>
      </c>
      <c r="R91" s="7">
        <v>393</v>
      </c>
      <c r="Y91" s="7">
        <v>320</v>
      </c>
      <c r="Z91" s="7">
        <v>1.9972451790633607</v>
      </c>
      <c r="AA91" s="7">
        <v>87</v>
      </c>
      <c r="AB91" s="7">
        <v>2.4528667355371896</v>
      </c>
      <c r="AC91" s="7">
        <v>106.846875</v>
      </c>
      <c r="AD91" s="7">
        <v>0</v>
      </c>
      <c r="AF91" s="7">
        <f>IF(PRICING[[#This Row],[SKU]]=J90,AF90+1,1)</f>
        <v>3</v>
      </c>
    </row>
    <row r="92" spans="1:32">
      <c r="A92" s="7" t="s">
        <v>189</v>
      </c>
      <c r="B92" s="7" t="s">
        <v>190</v>
      </c>
      <c r="C92" s="7" t="s">
        <v>191</v>
      </c>
      <c r="D92" s="7" t="s">
        <v>269</v>
      </c>
      <c r="E92" s="7" t="s">
        <v>263</v>
      </c>
      <c r="G92" s="12" t="s">
        <v>194</v>
      </c>
      <c r="H92" s="13"/>
      <c r="I92" s="13"/>
      <c r="J92" s="16">
        <v>427709</v>
      </c>
      <c r="K92" s="12" t="s">
        <v>306</v>
      </c>
      <c r="L92" s="12" t="s">
        <v>307</v>
      </c>
      <c r="M92" s="7">
        <v>710.1</v>
      </c>
      <c r="N92" s="7">
        <v>710.1</v>
      </c>
      <c r="O92" s="7">
        <v>0</v>
      </c>
      <c r="R92" s="7">
        <v>710.1</v>
      </c>
      <c r="Y92" s="7">
        <v>10.6</v>
      </c>
      <c r="Z92" s="7">
        <v>0.24334251606978877</v>
      </c>
      <c r="AA92" s="7">
        <v>10.6</v>
      </c>
      <c r="AB92" s="7">
        <v>16.301652892561982</v>
      </c>
      <c r="AC92" s="7">
        <v>710.10000000000014</v>
      </c>
      <c r="AD92" s="7">
        <v>0</v>
      </c>
      <c r="AF92" s="7">
        <f>IF(PRICING[[#This Row],[SKU]]=J91,AF91+1,1)</f>
        <v>1</v>
      </c>
    </row>
    <row r="93" spans="1:32">
      <c r="A93" s="7" t="s">
        <v>234</v>
      </c>
      <c r="B93" s="7" t="s">
        <v>200</v>
      </c>
      <c r="C93" s="7" t="s">
        <v>219</v>
      </c>
      <c r="D93" s="7" t="s">
        <v>192</v>
      </c>
      <c r="E93" s="7" t="s">
        <v>263</v>
      </c>
      <c r="F93" s="7" t="s">
        <v>201</v>
      </c>
      <c r="G93" s="12" t="s">
        <v>194</v>
      </c>
      <c r="H93" s="17"/>
      <c r="I93" s="13"/>
      <c r="J93" s="14">
        <v>11008522</v>
      </c>
      <c r="K93" s="12" t="s">
        <v>308</v>
      </c>
      <c r="L93" s="12" t="s">
        <v>309</v>
      </c>
      <c r="M93" s="7">
        <v>596.4</v>
      </c>
      <c r="N93" s="7">
        <v>566.58000000000004</v>
      </c>
      <c r="O93" s="7">
        <v>29.819999999999936</v>
      </c>
      <c r="R93" s="7">
        <v>566.58000000000004</v>
      </c>
      <c r="Y93" s="7">
        <v>64</v>
      </c>
      <c r="Z93" s="7">
        <v>0.3673094582185491</v>
      </c>
      <c r="AA93" s="7">
        <v>16</v>
      </c>
      <c r="AB93" s="7">
        <v>3.2517217630853996</v>
      </c>
      <c r="AC93" s="7">
        <v>141.64500000000001</v>
      </c>
      <c r="AD93" s="7">
        <v>4.9999999999999933E-2</v>
      </c>
      <c r="AF93" s="7">
        <f>IF(PRICING[[#This Row],[SKU]]=J92,AF92+1,1)</f>
        <v>1</v>
      </c>
    </row>
    <row r="94" spans="1:32">
      <c r="A94" s="7" t="s">
        <v>234</v>
      </c>
      <c r="B94" s="7" t="s">
        <v>200</v>
      </c>
      <c r="C94" s="7" t="s">
        <v>219</v>
      </c>
      <c r="D94" s="7" t="s">
        <v>192</v>
      </c>
      <c r="E94" s="7" t="s">
        <v>263</v>
      </c>
      <c r="F94" s="7" t="s">
        <v>201</v>
      </c>
      <c r="G94" s="12" t="s">
        <v>194</v>
      </c>
      <c r="H94" s="13"/>
      <c r="I94" s="13"/>
      <c r="J94" s="9">
        <v>11008522</v>
      </c>
      <c r="K94" s="7" t="s">
        <v>308</v>
      </c>
      <c r="L94" s="7" t="s">
        <v>309</v>
      </c>
      <c r="M94" s="7">
        <v>596.4</v>
      </c>
      <c r="N94" s="11">
        <v>566.58000000000004</v>
      </c>
      <c r="O94" s="11">
        <v>29.819999999999936</v>
      </c>
      <c r="P94" s="10" t="s">
        <v>239</v>
      </c>
      <c r="Q94" s="15">
        <v>40</v>
      </c>
      <c r="R94" s="7">
        <v>526.58000000000004</v>
      </c>
      <c r="Y94" s="7">
        <v>64</v>
      </c>
      <c r="Z94" s="7">
        <v>0.3673094582185491</v>
      </c>
      <c r="AA94" s="7">
        <v>16</v>
      </c>
      <c r="AB94" s="7">
        <v>3.0221533516988064</v>
      </c>
      <c r="AC94" s="7">
        <v>131.64500000000001</v>
      </c>
      <c r="AD94" s="7">
        <v>0.11706908115358805</v>
      </c>
      <c r="AF94" s="7">
        <f>IF(PRICING[[#This Row],[SKU]]=J93,AF93+1,1)</f>
        <v>2</v>
      </c>
    </row>
    <row r="95" spans="1:32">
      <c r="A95" s="7" t="s">
        <v>234</v>
      </c>
      <c r="B95" s="7" t="s">
        <v>200</v>
      </c>
      <c r="C95" s="7" t="s">
        <v>196</v>
      </c>
      <c r="E95" s="7" t="s">
        <v>263</v>
      </c>
      <c r="G95" s="12" t="s">
        <v>280</v>
      </c>
      <c r="H95" s="13"/>
      <c r="I95" s="13"/>
      <c r="J95" s="16">
        <v>11008522</v>
      </c>
      <c r="K95" s="7" t="s">
        <v>308</v>
      </c>
      <c r="L95" s="7" t="s">
        <v>309</v>
      </c>
      <c r="M95" s="7">
        <v>596.4</v>
      </c>
      <c r="N95" s="11">
        <v>566.58000000000004</v>
      </c>
      <c r="O95" s="11">
        <v>29.819999999999936</v>
      </c>
      <c r="P95" s="10" t="s">
        <v>213</v>
      </c>
      <c r="Q95" s="15">
        <v>85</v>
      </c>
      <c r="R95" s="7">
        <v>481.58000000000004</v>
      </c>
      <c r="Y95" s="7">
        <v>64</v>
      </c>
      <c r="Z95" s="7">
        <v>0.3673094582185491</v>
      </c>
      <c r="AA95" s="7">
        <v>16</v>
      </c>
      <c r="AB95" s="7">
        <v>2.7638888888888888</v>
      </c>
      <c r="AC95" s="7">
        <v>120.39500000000001</v>
      </c>
      <c r="AD95" s="7">
        <v>0.19252179745137477</v>
      </c>
      <c r="AF95" s="7">
        <f>IF(PRICING[[#This Row],[SKU]]=J94,AF94+1,1)</f>
        <v>3</v>
      </c>
    </row>
    <row r="96" spans="1:32">
      <c r="A96" s="7" t="s">
        <v>234</v>
      </c>
      <c r="B96" s="7" t="s">
        <v>190</v>
      </c>
      <c r="C96" s="7" t="s">
        <v>219</v>
      </c>
      <c r="D96" s="7" t="s">
        <v>192</v>
      </c>
      <c r="E96" s="7" t="s">
        <v>263</v>
      </c>
      <c r="G96" s="12" t="s">
        <v>194</v>
      </c>
      <c r="H96" s="13"/>
      <c r="I96" s="13"/>
      <c r="J96" s="16">
        <v>11008482</v>
      </c>
      <c r="K96" s="12" t="s">
        <v>308</v>
      </c>
      <c r="L96" s="12" t="s">
        <v>310</v>
      </c>
      <c r="M96" s="7">
        <v>197.76000000000002</v>
      </c>
      <c r="N96" s="11">
        <v>197.76000000000002</v>
      </c>
      <c r="O96" s="11">
        <v>0</v>
      </c>
      <c r="Q96" s="11">
        <v>15</v>
      </c>
      <c r="R96" s="7">
        <v>182.76000000000002</v>
      </c>
      <c r="Y96" s="7">
        <v>16</v>
      </c>
      <c r="Z96" s="7">
        <v>0.3673094582185491</v>
      </c>
      <c r="AA96" s="7">
        <v>16</v>
      </c>
      <c r="AB96" s="7">
        <v>4.1955922865013777</v>
      </c>
      <c r="AC96" s="7">
        <v>182.76000000000002</v>
      </c>
      <c r="AD96" s="7">
        <v>7.5849514563106735E-2</v>
      </c>
      <c r="AF96" s="7">
        <f>IF(PRICING[[#This Row],[SKU]]=J95,AF95+1,1)</f>
        <v>1</v>
      </c>
    </row>
    <row r="97" spans="1:32">
      <c r="A97" s="7" t="s">
        <v>234</v>
      </c>
      <c r="B97" s="7" t="s">
        <v>200</v>
      </c>
      <c r="C97" s="7" t="s">
        <v>219</v>
      </c>
      <c r="D97" s="7" t="s">
        <v>192</v>
      </c>
      <c r="E97" s="7" t="s">
        <v>263</v>
      </c>
      <c r="F97" s="7" t="s">
        <v>201</v>
      </c>
      <c r="G97" s="12" t="s">
        <v>202</v>
      </c>
      <c r="H97" s="13"/>
      <c r="I97" s="13"/>
      <c r="J97" s="16">
        <v>11013862</v>
      </c>
      <c r="K97" s="12" t="s">
        <v>62</v>
      </c>
      <c r="L97" s="12" t="s">
        <v>50</v>
      </c>
      <c r="M97" s="7">
        <v>262.39999999999998</v>
      </c>
      <c r="N97" s="11">
        <v>249.28</v>
      </c>
      <c r="O97" s="11">
        <v>13.119999999999976</v>
      </c>
      <c r="Q97" s="15"/>
      <c r="R97" s="7">
        <v>249.28</v>
      </c>
      <c r="S97" s="7">
        <v>269.68</v>
      </c>
      <c r="T97" s="7">
        <v>256.2</v>
      </c>
      <c r="U97" s="7">
        <v>256.2</v>
      </c>
      <c r="V97" s="7">
        <v>264.24</v>
      </c>
      <c r="W97" s="7">
        <v>251.02</v>
      </c>
      <c r="X97" s="7">
        <v>251.02</v>
      </c>
      <c r="Y97" s="7">
        <v>320</v>
      </c>
      <c r="Z97" s="7">
        <v>3.9</v>
      </c>
      <c r="AA97" s="7">
        <v>169.88400000000001</v>
      </c>
      <c r="AB97" s="7">
        <v>3.0381</v>
      </c>
      <c r="AC97" s="7">
        <v>132.33963600000001</v>
      </c>
      <c r="AD97" s="7">
        <v>4.9999999999999933E-2</v>
      </c>
      <c r="AF97" s="7">
        <f>IF(PRICING[[#This Row],[SKU]]=J96,AF96+1,1)</f>
        <v>1</v>
      </c>
    </row>
    <row r="98" spans="1:32">
      <c r="A98" s="7" t="s">
        <v>234</v>
      </c>
      <c r="B98" s="7" t="s">
        <v>200</v>
      </c>
      <c r="C98" s="7" t="s">
        <v>219</v>
      </c>
      <c r="D98" s="7" t="s">
        <v>192</v>
      </c>
      <c r="E98" s="7" t="s">
        <v>263</v>
      </c>
      <c r="F98" s="7" t="s">
        <v>201</v>
      </c>
      <c r="G98" s="12" t="s">
        <v>202</v>
      </c>
      <c r="H98" s="13"/>
      <c r="I98" s="13"/>
      <c r="J98" s="16">
        <v>11013862</v>
      </c>
      <c r="K98" s="12" t="s">
        <v>62</v>
      </c>
      <c r="L98" s="12" t="s">
        <v>50</v>
      </c>
      <c r="M98" s="7">
        <v>262.39999999999998</v>
      </c>
      <c r="N98" s="11">
        <v>249.28</v>
      </c>
      <c r="O98" s="11">
        <v>13.119999999999976</v>
      </c>
      <c r="P98" s="10" t="s">
        <v>259</v>
      </c>
      <c r="Q98" s="15">
        <v>40</v>
      </c>
      <c r="R98" s="7">
        <v>209.28</v>
      </c>
      <c r="S98" s="7">
        <v>269.68</v>
      </c>
      <c r="T98" s="7">
        <v>256.2</v>
      </c>
      <c r="U98" s="7">
        <v>216.2</v>
      </c>
      <c r="V98" s="7">
        <v>264.24</v>
      </c>
      <c r="W98" s="7">
        <v>251.02</v>
      </c>
      <c r="X98" s="7">
        <v>211.02</v>
      </c>
      <c r="Y98" s="7">
        <v>320</v>
      </c>
      <c r="Z98" s="7">
        <v>3.9</v>
      </c>
      <c r="AA98" s="7">
        <v>169.88400000000001</v>
      </c>
      <c r="AB98" s="7">
        <v>2.5506000000000002</v>
      </c>
      <c r="AC98" s="7">
        <v>111.10413600000001</v>
      </c>
      <c r="AD98" s="7">
        <v>0.20243902439024386</v>
      </c>
      <c r="AF98" s="7">
        <f>IF(PRICING[[#This Row],[SKU]]=J97,AF97+1,1)</f>
        <v>2</v>
      </c>
    </row>
    <row r="99" spans="1:32">
      <c r="A99" s="7" t="s">
        <v>234</v>
      </c>
      <c r="B99" s="7" t="s">
        <v>200</v>
      </c>
      <c r="C99" s="7" t="s">
        <v>196</v>
      </c>
      <c r="E99" s="7" t="s">
        <v>263</v>
      </c>
      <c r="G99" s="12" t="s">
        <v>273</v>
      </c>
      <c r="H99" s="13"/>
      <c r="I99" s="13"/>
      <c r="J99" s="16">
        <v>11013862</v>
      </c>
      <c r="K99" s="7" t="s">
        <v>62</v>
      </c>
      <c r="L99" s="7" t="s">
        <v>50</v>
      </c>
      <c r="M99" s="7">
        <v>262.39999999999998</v>
      </c>
      <c r="N99" s="11">
        <v>249.28</v>
      </c>
      <c r="O99" s="11">
        <v>13.119999999999976</v>
      </c>
      <c r="P99" s="10" t="s">
        <v>272</v>
      </c>
      <c r="Q99" s="15">
        <v>85</v>
      </c>
      <c r="R99" s="7">
        <v>164.28</v>
      </c>
      <c r="S99" s="7">
        <v>269.68</v>
      </c>
      <c r="T99" s="7">
        <v>256.2</v>
      </c>
      <c r="U99" s="7">
        <v>171.2</v>
      </c>
      <c r="V99" s="7">
        <v>264.24</v>
      </c>
      <c r="W99" s="7">
        <v>251.02</v>
      </c>
      <c r="X99" s="7">
        <v>166.02</v>
      </c>
      <c r="Y99" s="7">
        <v>320</v>
      </c>
      <c r="Z99" s="7">
        <v>3.9</v>
      </c>
      <c r="AA99" s="7">
        <v>169.88400000000001</v>
      </c>
      <c r="AB99" s="7">
        <v>2.0021624999999998</v>
      </c>
      <c r="AC99" s="7">
        <v>87.214198500000009</v>
      </c>
      <c r="AD99" s="7">
        <v>0.37393292682926826</v>
      </c>
      <c r="AF99" s="7">
        <f>IF(PRICING[[#This Row],[SKU]]=J98,AF98+1,1)</f>
        <v>3</v>
      </c>
    </row>
    <row r="100" spans="1:32">
      <c r="A100" s="7" t="s">
        <v>234</v>
      </c>
      <c r="B100" s="7" t="s">
        <v>190</v>
      </c>
      <c r="C100" s="7" t="s">
        <v>219</v>
      </c>
      <c r="D100" s="7" t="s">
        <v>192</v>
      </c>
      <c r="E100" s="7" t="s">
        <v>263</v>
      </c>
      <c r="G100" s="12" t="s">
        <v>194</v>
      </c>
      <c r="H100" s="13"/>
      <c r="I100" s="13"/>
      <c r="J100" s="16">
        <v>11008369</v>
      </c>
      <c r="K100" s="7" t="s">
        <v>62</v>
      </c>
      <c r="L100" s="7" t="s">
        <v>311</v>
      </c>
      <c r="M100" s="7">
        <v>117.6</v>
      </c>
      <c r="N100" s="11">
        <v>117.6</v>
      </c>
      <c r="O100" s="11">
        <v>0</v>
      </c>
      <c r="Q100" s="15">
        <v>12</v>
      </c>
      <c r="R100" s="7">
        <v>105.6</v>
      </c>
      <c r="Y100" s="7">
        <v>96</v>
      </c>
      <c r="Z100" s="7">
        <v>3.9</v>
      </c>
      <c r="AA100" s="7">
        <v>169.88400000000001</v>
      </c>
      <c r="AB100" s="7">
        <v>4.2899999999999991</v>
      </c>
      <c r="AC100" s="7">
        <v>186.8724</v>
      </c>
      <c r="AD100" s="7">
        <v>0.10204081632653061</v>
      </c>
      <c r="AF100" s="7">
        <f>IF(PRICING[[#This Row],[SKU]]=J99,AF99+1,1)</f>
        <v>1</v>
      </c>
    </row>
    <row r="101" spans="1:32">
      <c r="A101" s="7" t="s">
        <v>189</v>
      </c>
      <c r="B101" s="7" t="s">
        <v>200</v>
      </c>
      <c r="C101" s="7" t="s">
        <v>219</v>
      </c>
      <c r="D101" s="7" t="s">
        <v>269</v>
      </c>
      <c r="E101" s="7" t="s">
        <v>263</v>
      </c>
      <c r="F101" s="7" t="s">
        <v>201</v>
      </c>
      <c r="G101" s="12" t="s">
        <v>202</v>
      </c>
      <c r="H101" s="13" t="s">
        <v>312</v>
      </c>
      <c r="I101" s="13"/>
      <c r="J101" s="16" t="s">
        <v>63</v>
      </c>
      <c r="K101" s="7" t="s">
        <v>313</v>
      </c>
      <c r="L101" s="7" t="s">
        <v>66</v>
      </c>
      <c r="M101" s="7">
        <v>2092.8000000000002</v>
      </c>
      <c r="N101" s="11">
        <v>1946.3</v>
      </c>
      <c r="O101" s="11">
        <v>146.50000000000023</v>
      </c>
      <c r="P101" s="10" t="s">
        <v>314</v>
      </c>
      <c r="Q101" s="15"/>
      <c r="R101" s="7">
        <v>1946.3</v>
      </c>
      <c r="S101" s="7">
        <v>2150.88</v>
      </c>
      <c r="T101" s="7">
        <v>2000.31</v>
      </c>
      <c r="U101" s="7">
        <v>2000.31</v>
      </c>
      <c r="V101" s="7">
        <v>2107.44</v>
      </c>
      <c r="W101" s="7">
        <v>1959.92</v>
      </c>
      <c r="X101" s="7">
        <v>1959.92</v>
      </c>
      <c r="Y101" s="7">
        <v>128</v>
      </c>
      <c r="Z101" s="7">
        <v>0.13774104683195593</v>
      </c>
      <c r="AA101" s="7">
        <v>6.0000000000000009</v>
      </c>
      <c r="AB101" s="7">
        <v>2.0944171831955924</v>
      </c>
      <c r="AC101" s="7">
        <v>91.232812500000009</v>
      </c>
      <c r="AD101" s="7">
        <v>7.0001911314984788E-2</v>
      </c>
      <c r="AF101" s="7">
        <f>IF(PRICING[[#This Row],[SKU]]=J100,AF100+1,1)</f>
        <v>1</v>
      </c>
    </row>
    <row r="102" spans="1:32">
      <c r="A102" s="7" t="s">
        <v>189</v>
      </c>
      <c r="B102" s="7" t="s">
        <v>200</v>
      </c>
      <c r="C102" s="7" t="s">
        <v>219</v>
      </c>
      <c r="D102" s="7" t="s">
        <v>269</v>
      </c>
      <c r="E102" s="7" t="s">
        <v>263</v>
      </c>
      <c r="F102" s="7" t="s">
        <v>201</v>
      </c>
      <c r="G102" s="7" t="s">
        <v>202</v>
      </c>
      <c r="H102" s="8" t="s">
        <v>312</v>
      </c>
      <c r="J102" s="16" t="s">
        <v>63</v>
      </c>
      <c r="K102" s="12" t="s">
        <v>313</v>
      </c>
      <c r="L102" s="12" t="s">
        <v>66</v>
      </c>
      <c r="M102" s="7">
        <v>2092.8000000000002</v>
      </c>
      <c r="N102" s="7">
        <v>1862.59</v>
      </c>
      <c r="O102" s="7">
        <v>230.21000000000026</v>
      </c>
      <c r="P102" s="10" t="s">
        <v>315</v>
      </c>
      <c r="Q102" s="11">
        <v>38</v>
      </c>
      <c r="R102" s="7">
        <v>1824.59</v>
      </c>
      <c r="S102" s="7">
        <v>2150.88</v>
      </c>
      <c r="T102" s="7">
        <v>1914.28</v>
      </c>
      <c r="U102" s="7">
        <v>1876.28</v>
      </c>
      <c r="V102" s="7">
        <v>2107.44</v>
      </c>
      <c r="W102" s="7">
        <v>1875.63</v>
      </c>
      <c r="X102" s="7">
        <v>1837.63</v>
      </c>
      <c r="Y102" s="7">
        <v>128</v>
      </c>
      <c r="Z102" s="7">
        <v>0.13774104683195593</v>
      </c>
      <c r="AA102" s="7">
        <v>6.0000000000000009</v>
      </c>
      <c r="AB102" s="7">
        <v>1.9634448174931129</v>
      </c>
      <c r="AC102" s="7">
        <v>85.527656250000007</v>
      </c>
      <c r="AD102" s="7">
        <v>0.12815844801223253</v>
      </c>
      <c r="AF102" s="7">
        <f>IF(PRICING[[#This Row],[SKU]]=J101,AF101+1,1)</f>
        <v>2</v>
      </c>
    </row>
    <row r="103" spans="1:32">
      <c r="A103" s="7" t="s">
        <v>189</v>
      </c>
      <c r="B103" s="7" t="s">
        <v>200</v>
      </c>
      <c r="C103" s="7" t="s">
        <v>219</v>
      </c>
      <c r="D103" s="7" t="s">
        <v>269</v>
      </c>
      <c r="E103" s="7" t="s">
        <v>263</v>
      </c>
      <c r="F103" s="7" t="s">
        <v>201</v>
      </c>
      <c r="G103" s="7" t="s">
        <v>202</v>
      </c>
      <c r="H103" s="8" t="s">
        <v>312</v>
      </c>
      <c r="J103" s="16" t="s">
        <v>63</v>
      </c>
      <c r="K103" s="12" t="s">
        <v>313</v>
      </c>
      <c r="L103" s="12" t="s">
        <v>66</v>
      </c>
      <c r="M103" s="7">
        <v>1796.4</v>
      </c>
      <c r="N103" s="7">
        <v>1625.74</v>
      </c>
      <c r="O103" s="7">
        <v>170.66000000000008</v>
      </c>
      <c r="P103" s="10" t="s">
        <v>316</v>
      </c>
      <c r="Q103" s="11">
        <v>32</v>
      </c>
      <c r="R103" s="7">
        <v>1593.74</v>
      </c>
      <c r="S103" s="7">
        <v>1846.25</v>
      </c>
      <c r="T103" s="7">
        <v>1670.85</v>
      </c>
      <c r="U103" s="7">
        <v>1638.85</v>
      </c>
      <c r="V103" s="7">
        <v>1808.98</v>
      </c>
      <c r="W103" s="7">
        <v>1637.12</v>
      </c>
      <c r="X103" s="7">
        <v>1605.12</v>
      </c>
      <c r="Y103" s="7">
        <v>128</v>
      </c>
      <c r="Z103" s="7">
        <v>0.13774104683195593</v>
      </c>
      <c r="AA103" s="7">
        <v>6.0000000000000009</v>
      </c>
      <c r="AB103" s="7">
        <v>1.7150266873278237</v>
      </c>
      <c r="AC103" s="7">
        <v>74.706562500000018</v>
      </c>
      <c r="AD103" s="7">
        <v>0.1128145179247384</v>
      </c>
      <c r="AF103" s="7">
        <f>IF(PRICING[[#This Row],[SKU]]=J102,AF102+1,1)</f>
        <v>3</v>
      </c>
    </row>
    <row r="104" spans="1:32">
      <c r="A104" s="7" t="s">
        <v>189</v>
      </c>
      <c r="B104" s="7" t="s">
        <v>200</v>
      </c>
      <c r="C104" s="7" t="s">
        <v>196</v>
      </c>
      <c r="D104" s="7" t="s">
        <v>269</v>
      </c>
      <c r="E104" s="7" t="s">
        <v>263</v>
      </c>
      <c r="F104" s="7" t="s">
        <v>201</v>
      </c>
      <c r="G104" s="12" t="s">
        <v>273</v>
      </c>
      <c r="H104" s="13" t="s">
        <v>312</v>
      </c>
      <c r="I104" s="13"/>
      <c r="J104" s="16" t="s">
        <v>63</v>
      </c>
      <c r="K104" s="7" t="s">
        <v>313</v>
      </c>
      <c r="L104" s="7" t="s">
        <v>66</v>
      </c>
      <c r="M104" s="7">
        <v>1796.4</v>
      </c>
      <c r="N104" s="11">
        <v>1455.08</v>
      </c>
      <c r="O104" s="11">
        <v>341.32000000000016</v>
      </c>
      <c r="P104" s="10" t="s">
        <v>317</v>
      </c>
      <c r="Q104" s="15">
        <v>131</v>
      </c>
      <c r="R104" s="7">
        <v>1324.08</v>
      </c>
      <c r="S104" s="7">
        <v>1846.25</v>
      </c>
      <c r="T104" s="7">
        <v>1495.46</v>
      </c>
      <c r="U104" s="7">
        <v>1364.46</v>
      </c>
      <c r="V104" s="7">
        <v>1808.98</v>
      </c>
      <c r="W104" s="7">
        <v>1465.27</v>
      </c>
      <c r="X104" s="7">
        <v>1334.27</v>
      </c>
      <c r="Y104" s="7">
        <v>128</v>
      </c>
      <c r="Z104" s="7">
        <v>0.13774104683195593</v>
      </c>
      <c r="AA104" s="7">
        <v>6.0000000000000009</v>
      </c>
      <c r="AB104" s="7">
        <v>1.4248450413223139</v>
      </c>
      <c r="AC104" s="7">
        <v>62.066250000000004</v>
      </c>
      <c r="AD104" s="7">
        <v>0.26292585170340688</v>
      </c>
    </row>
    <row r="105" spans="1:32">
      <c r="A105" s="7" t="s">
        <v>189</v>
      </c>
      <c r="B105" s="7" t="s">
        <v>200</v>
      </c>
      <c r="C105" s="7" t="s">
        <v>196</v>
      </c>
      <c r="E105" s="7" t="s">
        <v>263</v>
      </c>
      <c r="G105" s="12" t="s">
        <v>273</v>
      </c>
      <c r="H105" s="13" t="s">
        <v>312</v>
      </c>
      <c r="I105" s="13"/>
      <c r="J105" s="16" t="s">
        <v>63</v>
      </c>
      <c r="K105" s="7" t="s">
        <v>313</v>
      </c>
      <c r="L105" s="7" t="s">
        <v>66</v>
      </c>
      <c r="M105" s="7">
        <v>1796.4</v>
      </c>
      <c r="N105" s="11">
        <v>1455.08</v>
      </c>
      <c r="O105" s="11">
        <v>341.32000000000016</v>
      </c>
      <c r="P105" s="10" t="s">
        <v>318</v>
      </c>
      <c r="Q105" s="15">
        <v>218</v>
      </c>
      <c r="R105" s="7">
        <v>1237.08</v>
      </c>
      <c r="S105" s="7">
        <v>1846.25</v>
      </c>
      <c r="T105" s="7">
        <v>1495.46</v>
      </c>
      <c r="U105" s="7">
        <v>1277.46</v>
      </c>
      <c r="V105" s="7">
        <v>1808.98</v>
      </c>
      <c r="W105" s="7">
        <v>1465.27</v>
      </c>
      <c r="X105" s="7">
        <v>1247.27</v>
      </c>
      <c r="Y105" s="7">
        <v>128</v>
      </c>
      <c r="Z105" s="7">
        <v>0.13774104683195593</v>
      </c>
      <c r="AA105" s="7">
        <v>6.0000000000000009</v>
      </c>
      <c r="AB105" s="7">
        <v>1.3312241735537189</v>
      </c>
      <c r="AC105" s="7">
        <v>57.988125000000004</v>
      </c>
      <c r="AD105" s="7">
        <v>0.31135604542418183</v>
      </c>
    </row>
    <row r="106" spans="1:32">
      <c r="A106" s="7" t="s">
        <v>189</v>
      </c>
      <c r="B106" s="7" t="s">
        <v>200</v>
      </c>
      <c r="C106" s="7" t="s">
        <v>196</v>
      </c>
      <c r="E106" s="7" t="s">
        <v>263</v>
      </c>
      <c r="G106" s="12" t="s">
        <v>273</v>
      </c>
      <c r="H106" s="13" t="s">
        <v>312</v>
      </c>
      <c r="I106" s="13"/>
      <c r="J106" s="16" t="s">
        <v>63</v>
      </c>
      <c r="K106" s="7" t="s">
        <v>313</v>
      </c>
      <c r="L106" s="7" t="s">
        <v>66</v>
      </c>
      <c r="M106" s="7">
        <v>1796.4</v>
      </c>
      <c r="N106" s="11">
        <v>1455.08</v>
      </c>
      <c r="O106" s="11">
        <v>341.32000000000016</v>
      </c>
      <c r="P106" s="10" t="s">
        <v>319</v>
      </c>
      <c r="Q106" s="15">
        <v>320</v>
      </c>
      <c r="R106" s="7">
        <v>1135.08</v>
      </c>
      <c r="S106" s="7">
        <v>1846.25</v>
      </c>
      <c r="T106" s="7">
        <v>1495.46</v>
      </c>
      <c r="U106" s="7">
        <v>1175.46</v>
      </c>
      <c r="V106" s="7">
        <v>1808.98</v>
      </c>
      <c r="W106" s="7">
        <v>1465.27</v>
      </c>
      <c r="X106" s="7">
        <v>1145.27</v>
      </c>
      <c r="Y106" s="7">
        <v>128</v>
      </c>
      <c r="Z106" s="7">
        <v>0.13774104683195593</v>
      </c>
      <c r="AA106" s="7">
        <v>6.0000000000000009</v>
      </c>
      <c r="AB106" s="7">
        <v>1.2214617768595042</v>
      </c>
      <c r="AC106" s="7">
        <v>53.206875000000004</v>
      </c>
      <c r="AD106" s="7">
        <v>0.36813627254509029</v>
      </c>
    </row>
    <row r="107" spans="1:32">
      <c r="A107" s="7" t="s">
        <v>189</v>
      </c>
      <c r="B107" s="7" t="s">
        <v>200</v>
      </c>
      <c r="C107" s="7" t="s">
        <v>219</v>
      </c>
      <c r="D107" s="7" t="s">
        <v>269</v>
      </c>
      <c r="E107" s="7" t="s">
        <v>263</v>
      </c>
      <c r="F107" s="7" t="s">
        <v>201</v>
      </c>
      <c r="G107" s="12" t="s">
        <v>202</v>
      </c>
      <c r="H107" s="13" t="s">
        <v>320</v>
      </c>
      <c r="I107" s="13"/>
      <c r="J107" s="16" t="s">
        <v>77</v>
      </c>
      <c r="K107" s="7" t="s">
        <v>79</v>
      </c>
      <c r="L107" s="7" t="s">
        <v>80</v>
      </c>
      <c r="M107" s="7">
        <v>130.5</v>
      </c>
      <c r="N107" s="11">
        <v>123.98</v>
      </c>
      <c r="O107" s="11">
        <v>6.519999999999996</v>
      </c>
      <c r="Q107" s="15"/>
      <c r="R107" s="7">
        <v>123.98</v>
      </c>
      <c r="S107" s="7">
        <v>134.12</v>
      </c>
      <c r="T107" s="7">
        <v>127.42</v>
      </c>
      <c r="U107" s="7">
        <v>127.42</v>
      </c>
      <c r="V107" s="7">
        <v>131.5</v>
      </c>
      <c r="W107" s="7">
        <v>124.85</v>
      </c>
      <c r="X107" s="7">
        <v>124.85</v>
      </c>
      <c r="Y107" s="7">
        <v>800</v>
      </c>
      <c r="Z107" s="7">
        <v>3.443526170798898</v>
      </c>
      <c r="AA107" s="7">
        <v>150</v>
      </c>
      <c r="AB107" s="7">
        <v>0.53366046831955927</v>
      </c>
      <c r="AC107" s="7">
        <v>23.24625</v>
      </c>
      <c r="AD107" s="7">
        <v>4.9961685823754709E-2</v>
      </c>
    </row>
    <row r="108" spans="1:32">
      <c r="A108" s="7" t="s">
        <v>189</v>
      </c>
      <c r="B108" s="7" t="s">
        <v>200</v>
      </c>
      <c r="C108" s="7" t="s">
        <v>219</v>
      </c>
      <c r="D108" s="7" t="s">
        <v>269</v>
      </c>
      <c r="E108" s="7" t="s">
        <v>263</v>
      </c>
      <c r="F108" s="7" t="s">
        <v>201</v>
      </c>
      <c r="G108" s="12" t="s">
        <v>202</v>
      </c>
      <c r="H108" s="13" t="s">
        <v>320</v>
      </c>
      <c r="I108" s="13"/>
      <c r="J108" s="16" t="s">
        <v>77</v>
      </c>
      <c r="K108" s="7" t="s">
        <v>79</v>
      </c>
      <c r="L108" s="7" t="s">
        <v>80</v>
      </c>
      <c r="M108" s="7">
        <v>130.5</v>
      </c>
      <c r="N108" s="11">
        <v>123.98</v>
      </c>
      <c r="O108" s="11">
        <v>6.519999999999996</v>
      </c>
      <c r="P108" s="10" t="s">
        <v>321</v>
      </c>
      <c r="Q108" s="15">
        <v>8</v>
      </c>
      <c r="R108" s="7">
        <v>115.98</v>
      </c>
      <c r="S108" s="7">
        <v>134.12</v>
      </c>
      <c r="T108" s="7">
        <v>127.42</v>
      </c>
      <c r="U108" s="7">
        <v>119.42</v>
      </c>
      <c r="V108" s="7">
        <v>131.5</v>
      </c>
      <c r="W108" s="7">
        <v>124.85</v>
      </c>
      <c r="X108" s="7">
        <v>116.85</v>
      </c>
      <c r="Y108" s="7">
        <v>800</v>
      </c>
      <c r="Z108" s="7">
        <v>3.443526170798898</v>
      </c>
      <c r="AA108" s="7">
        <v>150</v>
      </c>
      <c r="AB108" s="7">
        <v>0.49922520661157022</v>
      </c>
      <c r="AC108" s="7">
        <v>21.74625</v>
      </c>
      <c r="AD108" s="7">
        <v>0.11126436781609195</v>
      </c>
    </row>
    <row r="109" spans="1:32">
      <c r="A109" s="7" t="s">
        <v>189</v>
      </c>
      <c r="B109" s="7" t="s">
        <v>200</v>
      </c>
      <c r="C109" s="7" t="s">
        <v>196</v>
      </c>
      <c r="E109" s="7" t="s">
        <v>263</v>
      </c>
      <c r="G109" s="12" t="s">
        <v>273</v>
      </c>
      <c r="H109" s="13" t="s">
        <v>320</v>
      </c>
      <c r="I109" s="13"/>
      <c r="J109" s="16" t="s">
        <v>77</v>
      </c>
      <c r="K109" s="7" t="s">
        <v>79</v>
      </c>
      <c r="L109" s="7" t="s">
        <v>80</v>
      </c>
      <c r="M109" s="7">
        <v>130.5</v>
      </c>
      <c r="N109" s="11">
        <v>123.98</v>
      </c>
      <c r="O109" s="11">
        <v>6.519999999999996</v>
      </c>
      <c r="P109" s="10" t="s">
        <v>322</v>
      </c>
      <c r="Q109" s="15">
        <v>18</v>
      </c>
      <c r="R109" s="7">
        <v>105.98</v>
      </c>
      <c r="S109" s="7">
        <v>134.12</v>
      </c>
      <c r="T109" s="7">
        <v>127.42</v>
      </c>
      <c r="U109" s="7">
        <v>109.42</v>
      </c>
      <c r="V109" s="7">
        <v>131.5</v>
      </c>
      <c r="W109" s="7">
        <v>124.85</v>
      </c>
      <c r="X109" s="7">
        <v>106.85</v>
      </c>
      <c r="Y109" s="7">
        <v>800</v>
      </c>
      <c r="Z109" s="7">
        <v>3.443526170798898</v>
      </c>
      <c r="AA109" s="7">
        <v>150</v>
      </c>
      <c r="AB109" s="7">
        <v>0.45618112947658407</v>
      </c>
      <c r="AC109" s="7">
        <v>19.87125</v>
      </c>
      <c r="AD109" s="7">
        <v>0.18789272030651338</v>
      </c>
    </row>
    <row r="110" spans="1:32">
      <c r="A110" s="7" t="s">
        <v>189</v>
      </c>
      <c r="B110" s="7" t="s">
        <v>190</v>
      </c>
      <c r="C110" s="7" t="s">
        <v>219</v>
      </c>
      <c r="D110" s="7" t="s">
        <v>323</v>
      </c>
      <c r="E110" s="7" t="s">
        <v>263</v>
      </c>
      <c r="G110" s="12" t="s">
        <v>194</v>
      </c>
      <c r="H110" s="13"/>
      <c r="I110" s="13"/>
      <c r="J110" s="16" t="s">
        <v>142</v>
      </c>
      <c r="K110" s="7" t="s">
        <v>324</v>
      </c>
      <c r="L110" s="7" t="s">
        <v>325</v>
      </c>
      <c r="M110" s="7">
        <v>115.1</v>
      </c>
      <c r="N110" s="11">
        <v>115.1</v>
      </c>
      <c r="O110" s="11">
        <v>0</v>
      </c>
      <c r="P110" s="10" t="s">
        <v>266</v>
      </c>
      <c r="Q110" s="15">
        <v>15</v>
      </c>
      <c r="R110" s="7">
        <v>100.1</v>
      </c>
      <c r="Y110" s="7">
        <v>128</v>
      </c>
      <c r="Z110" s="7">
        <v>2.5711662075298438</v>
      </c>
      <c r="AA110" s="7">
        <v>112</v>
      </c>
      <c r="AB110" s="7">
        <v>2.0107323232323231</v>
      </c>
      <c r="AC110" s="7">
        <v>87.587499999999991</v>
      </c>
      <c r="AD110" s="7">
        <v>0.13032145960034758</v>
      </c>
    </row>
    <row r="111" spans="1:32">
      <c r="A111" s="7" t="s">
        <v>189</v>
      </c>
      <c r="B111" s="7" t="s">
        <v>190</v>
      </c>
      <c r="C111" s="7" t="s">
        <v>219</v>
      </c>
      <c r="D111" s="7" t="s">
        <v>323</v>
      </c>
      <c r="E111" s="7" t="s">
        <v>263</v>
      </c>
      <c r="G111" s="12" t="s">
        <v>194</v>
      </c>
      <c r="H111" s="13"/>
      <c r="I111" s="13"/>
      <c r="J111" s="16" t="s">
        <v>143</v>
      </c>
      <c r="K111" s="7" t="s">
        <v>324</v>
      </c>
      <c r="L111" s="7" t="s">
        <v>204</v>
      </c>
      <c r="M111" s="7">
        <v>275.25</v>
      </c>
      <c r="N111" s="11">
        <v>275.25</v>
      </c>
      <c r="O111" s="11">
        <v>0</v>
      </c>
      <c r="P111" s="10" t="s">
        <v>266</v>
      </c>
      <c r="Q111" s="15">
        <v>37.5</v>
      </c>
      <c r="R111" s="7">
        <v>237.75</v>
      </c>
      <c r="Y111" s="7">
        <v>320</v>
      </c>
      <c r="Z111" s="7">
        <v>2.5711662075298438</v>
      </c>
      <c r="AA111" s="7">
        <v>112</v>
      </c>
      <c r="AB111" s="7">
        <v>1.9102961432506886</v>
      </c>
      <c r="AC111" s="7">
        <v>83.212499999999991</v>
      </c>
      <c r="AD111" s="7">
        <v>0.13623978201634879</v>
      </c>
    </row>
    <row r="112" spans="1:32">
      <c r="A112" s="7" t="s">
        <v>189</v>
      </c>
      <c r="B112" s="7" t="s">
        <v>190</v>
      </c>
      <c r="C112" s="7" t="s">
        <v>219</v>
      </c>
      <c r="D112" s="7" t="s">
        <v>323</v>
      </c>
      <c r="E112" s="7" t="s">
        <v>263</v>
      </c>
      <c r="G112" s="12" t="s">
        <v>194</v>
      </c>
      <c r="H112" s="13"/>
      <c r="I112" s="13"/>
      <c r="J112" s="16" t="s">
        <v>144</v>
      </c>
      <c r="K112" s="7" t="s">
        <v>326</v>
      </c>
      <c r="L112" s="7" t="s">
        <v>204</v>
      </c>
      <c r="M112" s="7">
        <v>227.25</v>
      </c>
      <c r="N112" s="11">
        <v>227.25</v>
      </c>
      <c r="O112" s="11">
        <v>0</v>
      </c>
      <c r="P112" s="10" t="s">
        <v>266</v>
      </c>
      <c r="Q112" s="15">
        <v>37.5</v>
      </c>
      <c r="R112" s="7">
        <v>189.75</v>
      </c>
      <c r="Y112" s="7">
        <v>320</v>
      </c>
      <c r="Z112" s="7">
        <v>1.1019283746556474</v>
      </c>
      <c r="AA112" s="7">
        <v>48.000000000000007</v>
      </c>
      <c r="AB112" s="7">
        <v>0.65340909090909094</v>
      </c>
      <c r="AC112" s="7">
        <v>28.462500000000006</v>
      </c>
      <c r="AD112" s="7">
        <v>0.16501650165016502</v>
      </c>
    </row>
    <row r="113" spans="1:32">
      <c r="A113" s="7" t="s">
        <v>189</v>
      </c>
      <c r="B113" s="7" t="s">
        <v>190</v>
      </c>
      <c r="C113" s="7" t="s">
        <v>219</v>
      </c>
      <c r="D113" s="7" t="s">
        <v>323</v>
      </c>
      <c r="E113" s="7" t="s">
        <v>263</v>
      </c>
      <c r="G113" s="12" t="s">
        <v>194</v>
      </c>
      <c r="H113" s="13"/>
      <c r="I113" s="13"/>
      <c r="J113" s="16" t="s">
        <v>145</v>
      </c>
      <c r="K113" s="7" t="s">
        <v>326</v>
      </c>
      <c r="L113" s="7" t="s">
        <v>327</v>
      </c>
      <c r="M113" s="7">
        <v>2484.6</v>
      </c>
      <c r="N113" s="11">
        <v>2484.6</v>
      </c>
      <c r="O113" s="11">
        <v>0</v>
      </c>
      <c r="P113" s="10" t="s">
        <v>266</v>
      </c>
      <c r="Q113" s="15">
        <v>450</v>
      </c>
      <c r="R113" s="7">
        <v>2034.6</v>
      </c>
      <c r="Y113" s="7">
        <v>3840</v>
      </c>
      <c r="Z113" s="7">
        <v>1.1019283746556474</v>
      </c>
      <c r="AA113" s="7">
        <v>48.000000000000007</v>
      </c>
      <c r="AB113" s="7">
        <v>0.58384986225895308</v>
      </c>
      <c r="AC113" s="7">
        <v>25.432500000000001</v>
      </c>
      <c r="AD113" s="7">
        <v>0.18111567254286409</v>
      </c>
    </row>
    <row r="114" spans="1:32">
      <c r="A114" s="7" t="s">
        <v>189</v>
      </c>
      <c r="B114" s="7" t="s">
        <v>190</v>
      </c>
      <c r="C114" s="7" t="s">
        <v>219</v>
      </c>
      <c r="D114" s="7" t="s">
        <v>192</v>
      </c>
      <c r="E114" s="7" t="s">
        <v>263</v>
      </c>
      <c r="G114" s="12" t="s">
        <v>194</v>
      </c>
      <c r="H114" s="13"/>
      <c r="I114" s="13"/>
      <c r="J114" s="16" t="s">
        <v>146</v>
      </c>
      <c r="K114" s="7" t="s">
        <v>328</v>
      </c>
      <c r="L114" s="7" t="s">
        <v>325</v>
      </c>
      <c r="M114" s="7">
        <v>80.8</v>
      </c>
      <c r="N114" s="11">
        <v>80.8</v>
      </c>
      <c r="O114" s="11">
        <v>0</v>
      </c>
      <c r="P114" s="10" t="s">
        <v>266</v>
      </c>
      <c r="Q114" s="15">
        <v>15</v>
      </c>
      <c r="R114" s="7">
        <v>65.8</v>
      </c>
      <c r="Y114" s="7">
        <v>128</v>
      </c>
      <c r="Z114" s="7">
        <v>1.1019283746556474</v>
      </c>
      <c r="AA114" s="7">
        <v>48.000000000000007</v>
      </c>
      <c r="AB114" s="7">
        <v>0.56646005509641872</v>
      </c>
      <c r="AC114" s="7">
        <v>24.675000000000004</v>
      </c>
      <c r="AD114" s="7">
        <v>0.1856435643564357</v>
      </c>
    </row>
    <row r="115" spans="1:32">
      <c r="A115" s="7" t="s">
        <v>189</v>
      </c>
      <c r="B115" s="7" t="s">
        <v>190</v>
      </c>
      <c r="C115" s="7" t="s">
        <v>219</v>
      </c>
      <c r="D115" s="7" t="s">
        <v>192</v>
      </c>
      <c r="E115" s="7" t="s">
        <v>263</v>
      </c>
      <c r="G115" s="12" t="s">
        <v>194</v>
      </c>
      <c r="H115" s="13"/>
      <c r="I115" s="13"/>
      <c r="J115" s="16" t="s">
        <v>147</v>
      </c>
      <c r="K115" s="7" t="s">
        <v>328</v>
      </c>
      <c r="L115" s="7" t="s">
        <v>204</v>
      </c>
      <c r="M115" s="7">
        <v>191.95</v>
      </c>
      <c r="N115" s="11">
        <v>191.95</v>
      </c>
      <c r="O115" s="11">
        <v>0</v>
      </c>
      <c r="P115" s="10" t="s">
        <v>266</v>
      </c>
      <c r="Q115" s="15">
        <v>37.5</v>
      </c>
      <c r="R115" s="7">
        <v>154.44999999999999</v>
      </c>
      <c r="Y115" s="7">
        <v>320</v>
      </c>
      <c r="Z115" s="7">
        <v>1.1019283746556474</v>
      </c>
      <c r="AA115" s="7">
        <v>48.000000000000007</v>
      </c>
      <c r="AB115" s="7">
        <v>0.53185261707988973</v>
      </c>
      <c r="AC115" s="7">
        <v>23.1675</v>
      </c>
      <c r="AD115" s="7">
        <v>0.19536337587913521</v>
      </c>
    </row>
    <row r="116" spans="1:32">
      <c r="A116" s="7" t="s">
        <v>189</v>
      </c>
      <c r="B116" s="7" t="s">
        <v>190</v>
      </c>
      <c r="C116" s="7" t="s">
        <v>219</v>
      </c>
      <c r="D116" s="7" t="s">
        <v>192</v>
      </c>
      <c r="E116" s="7" t="s">
        <v>263</v>
      </c>
      <c r="G116" s="12" t="s">
        <v>194</v>
      </c>
      <c r="H116" s="13"/>
      <c r="I116" s="13"/>
      <c r="J116" s="16" t="s">
        <v>148</v>
      </c>
      <c r="K116" s="7" t="s">
        <v>328</v>
      </c>
      <c r="L116" s="7" t="s">
        <v>327</v>
      </c>
      <c r="M116" s="7">
        <v>2181.65</v>
      </c>
      <c r="N116" s="11">
        <v>2181.65</v>
      </c>
      <c r="O116" s="11">
        <v>0</v>
      </c>
      <c r="P116" s="10" t="s">
        <v>266</v>
      </c>
      <c r="Q116" s="15">
        <v>450</v>
      </c>
      <c r="R116" s="7">
        <v>1731.65</v>
      </c>
      <c r="Y116" s="7">
        <v>3840</v>
      </c>
      <c r="Z116" s="7">
        <v>1.1019283746556474</v>
      </c>
      <c r="AA116" s="7">
        <v>48.000000000000007</v>
      </c>
      <c r="AB116" s="7">
        <v>0.49691517447199268</v>
      </c>
      <c r="AC116" s="7">
        <v>21.645625000000006</v>
      </c>
      <c r="AD116" s="7">
        <v>0.20626589966309905</v>
      </c>
    </row>
    <row r="117" spans="1:32">
      <c r="A117" s="7" t="s">
        <v>189</v>
      </c>
      <c r="B117" s="7" t="s">
        <v>200</v>
      </c>
      <c r="C117" s="7" t="s">
        <v>219</v>
      </c>
      <c r="D117" s="7" t="s">
        <v>269</v>
      </c>
      <c r="E117" s="7" t="s">
        <v>263</v>
      </c>
      <c r="F117" s="7" t="s">
        <v>201</v>
      </c>
      <c r="G117" s="12" t="s">
        <v>202</v>
      </c>
      <c r="H117" s="13"/>
      <c r="I117" s="13"/>
      <c r="J117" s="16">
        <v>81746257</v>
      </c>
      <c r="K117" s="7" t="s">
        <v>82</v>
      </c>
      <c r="L117" s="7" t="s">
        <v>83</v>
      </c>
      <c r="M117" s="7">
        <v>426.4</v>
      </c>
      <c r="N117" s="11">
        <v>405.08</v>
      </c>
      <c r="O117" s="11">
        <v>21.319999999999993</v>
      </c>
      <c r="Q117" s="15"/>
      <c r="R117" s="7">
        <v>405.08</v>
      </c>
      <c r="S117" s="7">
        <v>438.23</v>
      </c>
      <c r="T117" s="7">
        <v>416.32</v>
      </c>
      <c r="U117" s="7">
        <v>416.32</v>
      </c>
      <c r="V117" s="7">
        <v>429.38</v>
      </c>
      <c r="W117" s="7">
        <v>407.92</v>
      </c>
      <c r="X117" s="7">
        <v>407.92</v>
      </c>
      <c r="Y117" s="7">
        <v>6</v>
      </c>
      <c r="Z117" s="7">
        <v>2.2956841138659319E-2</v>
      </c>
      <c r="AA117" s="7">
        <v>1</v>
      </c>
      <c r="AB117" s="7">
        <v>1.5498928680746862</v>
      </c>
      <c r="AC117" s="7">
        <v>67.513333333333335</v>
      </c>
      <c r="AD117" s="7">
        <v>4.9999999999999933E-2</v>
      </c>
    </row>
    <row r="118" spans="1:32">
      <c r="A118" s="7" t="s">
        <v>189</v>
      </c>
      <c r="B118" s="7" t="s">
        <v>200</v>
      </c>
      <c r="C118" s="7" t="s">
        <v>219</v>
      </c>
      <c r="D118" s="7" t="s">
        <v>269</v>
      </c>
      <c r="E118" s="7" t="s">
        <v>263</v>
      </c>
      <c r="F118" s="7" t="s">
        <v>201</v>
      </c>
      <c r="G118" s="12" t="s">
        <v>202</v>
      </c>
      <c r="H118" s="13"/>
      <c r="I118" s="13"/>
      <c r="J118" s="16">
        <v>81746257</v>
      </c>
      <c r="K118" s="7" t="s">
        <v>82</v>
      </c>
      <c r="L118" s="7" t="s">
        <v>83</v>
      </c>
      <c r="M118" s="7">
        <v>426.4</v>
      </c>
      <c r="N118" s="11">
        <v>405.08</v>
      </c>
      <c r="O118" s="11">
        <v>21.319999999999993</v>
      </c>
      <c r="P118" s="10" t="s">
        <v>259</v>
      </c>
      <c r="Q118" s="15">
        <v>30</v>
      </c>
      <c r="R118" s="7">
        <v>375.08</v>
      </c>
      <c r="S118" s="7">
        <v>438.23</v>
      </c>
      <c r="T118" s="7">
        <v>416.32</v>
      </c>
      <c r="U118" s="7">
        <v>386.32</v>
      </c>
      <c r="V118" s="7">
        <v>429.38</v>
      </c>
      <c r="W118" s="7">
        <v>407.92</v>
      </c>
      <c r="X118" s="7">
        <v>377.92</v>
      </c>
      <c r="Y118" s="7">
        <v>6</v>
      </c>
      <c r="Z118" s="7">
        <v>2.2956841138659319E-2</v>
      </c>
      <c r="AA118" s="7">
        <v>1</v>
      </c>
      <c r="AB118" s="7">
        <v>1.4351086623813893</v>
      </c>
      <c r="AC118" s="7">
        <v>62.513333333333328</v>
      </c>
      <c r="AD118" s="7">
        <v>0.12035647279549722</v>
      </c>
    </row>
    <row r="119" spans="1:32">
      <c r="A119" s="7" t="s">
        <v>189</v>
      </c>
      <c r="B119" s="7" t="s">
        <v>200</v>
      </c>
      <c r="C119" s="7" t="s">
        <v>196</v>
      </c>
      <c r="E119" s="7" t="s">
        <v>263</v>
      </c>
      <c r="G119" s="12" t="s">
        <v>273</v>
      </c>
      <c r="H119" s="13"/>
      <c r="I119" s="13"/>
      <c r="J119" s="16">
        <v>81746257</v>
      </c>
      <c r="K119" s="7" t="s">
        <v>82</v>
      </c>
      <c r="L119" s="7" t="s">
        <v>83</v>
      </c>
      <c r="M119" s="7">
        <v>426.4</v>
      </c>
      <c r="N119" s="11">
        <v>405.08</v>
      </c>
      <c r="O119" s="11">
        <v>21.319999999999993</v>
      </c>
      <c r="P119" s="10" t="s">
        <v>272</v>
      </c>
      <c r="Q119" s="15">
        <v>50</v>
      </c>
      <c r="R119" s="7">
        <v>355.08</v>
      </c>
      <c r="S119" s="7">
        <v>438.23</v>
      </c>
      <c r="T119" s="7">
        <v>416.32</v>
      </c>
      <c r="U119" s="7">
        <v>366.32</v>
      </c>
      <c r="V119" s="7">
        <v>429.38</v>
      </c>
      <c r="W119" s="7">
        <v>407.92</v>
      </c>
      <c r="X119" s="7">
        <v>357.92</v>
      </c>
      <c r="Y119" s="7">
        <v>6</v>
      </c>
      <c r="Z119" s="7">
        <v>2.2956841138659319E-2</v>
      </c>
      <c r="AA119" s="7">
        <v>1</v>
      </c>
      <c r="AB119" s="7">
        <v>1.3585858585858586</v>
      </c>
      <c r="AC119" s="7">
        <v>59.18</v>
      </c>
      <c r="AD119" s="7">
        <v>0.16726078799249533</v>
      </c>
    </row>
    <row r="120" spans="1:32">
      <c r="A120" s="7" t="s">
        <v>234</v>
      </c>
      <c r="B120" s="7" t="s">
        <v>200</v>
      </c>
      <c r="C120" s="7" t="s">
        <v>219</v>
      </c>
      <c r="D120" s="7" t="s">
        <v>192</v>
      </c>
      <c r="E120" s="7" t="s">
        <v>263</v>
      </c>
      <c r="F120" s="7" t="s">
        <v>201</v>
      </c>
      <c r="G120" s="12" t="s">
        <v>194</v>
      </c>
      <c r="H120" s="13"/>
      <c r="I120" s="13"/>
      <c r="J120" s="16">
        <v>11008590</v>
      </c>
      <c r="K120" s="7" t="s">
        <v>329</v>
      </c>
      <c r="L120" s="7" t="s">
        <v>210</v>
      </c>
      <c r="M120" s="7">
        <v>489.4</v>
      </c>
      <c r="N120" s="11">
        <v>464.93</v>
      </c>
      <c r="O120" s="11">
        <v>24.46999999999997</v>
      </c>
      <c r="Q120" s="15"/>
      <c r="R120" s="7">
        <v>464.93</v>
      </c>
      <c r="Y120" s="7">
        <v>12</v>
      </c>
      <c r="Z120" s="7">
        <v>0.32139577594123048</v>
      </c>
      <c r="AA120" s="7">
        <v>14</v>
      </c>
      <c r="AB120" s="7">
        <v>12.45221150902969</v>
      </c>
      <c r="AC120" s="7">
        <v>542.41833333333329</v>
      </c>
      <c r="AD120" s="7">
        <v>4.9999999999999933E-2</v>
      </c>
    </row>
    <row r="121" spans="1:32">
      <c r="A121" s="7" t="s">
        <v>234</v>
      </c>
      <c r="B121" s="7" t="s">
        <v>200</v>
      </c>
      <c r="C121" s="7" t="s">
        <v>219</v>
      </c>
      <c r="D121" s="7" t="s">
        <v>192</v>
      </c>
      <c r="E121" s="7" t="s">
        <v>263</v>
      </c>
      <c r="F121" s="7" t="s">
        <v>201</v>
      </c>
      <c r="G121" s="12" t="s">
        <v>194</v>
      </c>
      <c r="H121" s="13"/>
      <c r="I121" s="13"/>
      <c r="J121" s="16">
        <v>11008590</v>
      </c>
      <c r="K121" s="7" t="s">
        <v>329</v>
      </c>
      <c r="L121" s="7" t="s">
        <v>210</v>
      </c>
      <c r="M121" s="7">
        <v>489.4</v>
      </c>
      <c r="N121" s="11">
        <v>464.93</v>
      </c>
      <c r="O121" s="11">
        <v>24.46999999999997</v>
      </c>
      <c r="P121" s="10" t="s">
        <v>259</v>
      </c>
      <c r="Q121" s="15">
        <v>50</v>
      </c>
      <c r="R121" s="7">
        <v>414.93</v>
      </c>
      <c r="Y121" s="7">
        <v>12</v>
      </c>
      <c r="Z121" s="7">
        <v>0.32139577594123048</v>
      </c>
      <c r="AA121" s="7">
        <v>14</v>
      </c>
      <c r="AB121" s="7">
        <v>11.113062442607896</v>
      </c>
      <c r="AC121" s="7">
        <v>484.08500000000004</v>
      </c>
      <c r="AD121" s="7">
        <v>0.15216591744993868</v>
      </c>
    </row>
    <row r="122" spans="1:32">
      <c r="A122" s="7" t="s">
        <v>189</v>
      </c>
      <c r="B122" s="7" t="s">
        <v>200</v>
      </c>
      <c r="C122" s="7" t="s">
        <v>277</v>
      </c>
      <c r="D122" s="7" t="s">
        <v>192</v>
      </c>
      <c r="E122" s="7" t="s">
        <v>330</v>
      </c>
      <c r="G122" s="12" t="s">
        <v>207</v>
      </c>
      <c r="H122" s="17" t="s">
        <v>331</v>
      </c>
      <c r="I122" s="17"/>
      <c r="J122" s="18" t="s">
        <v>149</v>
      </c>
      <c r="K122" s="12" t="s">
        <v>332</v>
      </c>
      <c r="L122" s="12" t="s">
        <v>47</v>
      </c>
      <c r="M122" s="7">
        <v>437.2</v>
      </c>
      <c r="N122" s="7">
        <v>437.2</v>
      </c>
      <c r="O122" s="7">
        <v>0</v>
      </c>
      <c r="P122" s="19" t="s">
        <v>211</v>
      </c>
      <c r="R122" s="7">
        <v>437.2</v>
      </c>
      <c r="Y122" s="7">
        <v>64</v>
      </c>
      <c r="Z122" s="7">
        <v>0.32</v>
      </c>
      <c r="AA122" s="7">
        <v>13.939200000000001</v>
      </c>
      <c r="AB122" s="7">
        <v>2.1859999999999999</v>
      </c>
      <c r="AC122" s="7">
        <v>95.222160000000002</v>
      </c>
      <c r="AD122" s="7">
        <v>0</v>
      </c>
      <c r="AF122" s="7">
        <f>IF(PRICING[[#This Row],[SKU]]=J121,AF121+1,1)</f>
        <v>1</v>
      </c>
    </row>
    <row r="123" spans="1:32">
      <c r="A123" s="7" t="s">
        <v>189</v>
      </c>
      <c r="B123" s="7" t="s">
        <v>200</v>
      </c>
      <c r="C123" s="7" t="s">
        <v>277</v>
      </c>
      <c r="D123" s="7" t="s">
        <v>192</v>
      </c>
      <c r="E123" s="7" t="s">
        <v>330</v>
      </c>
      <c r="G123" s="12" t="s">
        <v>207</v>
      </c>
      <c r="H123" s="17" t="s">
        <v>331</v>
      </c>
      <c r="I123" s="17"/>
      <c r="J123" s="18" t="s">
        <v>149</v>
      </c>
      <c r="K123" s="12" t="s">
        <v>332</v>
      </c>
      <c r="L123" s="12" t="s">
        <v>47</v>
      </c>
      <c r="M123" s="7">
        <v>437.2</v>
      </c>
      <c r="N123" s="7">
        <v>415.34</v>
      </c>
      <c r="O123" s="7">
        <v>21.860000000000014</v>
      </c>
      <c r="P123" s="19" t="s">
        <v>212</v>
      </c>
      <c r="R123" s="7">
        <v>415.34</v>
      </c>
      <c r="Y123" s="7">
        <v>64</v>
      </c>
      <c r="Z123" s="7">
        <v>0.32</v>
      </c>
      <c r="AA123" s="7">
        <v>13.939200000000001</v>
      </c>
      <c r="AB123" s="7">
        <v>2.0766999999999998</v>
      </c>
      <c r="AC123" s="7">
        <v>90.461052000000009</v>
      </c>
      <c r="AD123" s="7">
        <v>5.0000000000000044E-2</v>
      </c>
      <c r="AF123" s="7">
        <f>IF(PRICING[[#This Row],[SKU]]=J122,AF122+1,1)</f>
        <v>2</v>
      </c>
    </row>
    <row r="124" spans="1:32">
      <c r="A124" s="7" t="s">
        <v>189</v>
      </c>
      <c r="B124" s="7" t="s">
        <v>200</v>
      </c>
      <c r="C124" s="7" t="s">
        <v>277</v>
      </c>
      <c r="D124" s="7" t="s">
        <v>192</v>
      </c>
      <c r="E124" s="7" t="s">
        <v>330</v>
      </c>
      <c r="G124" s="12" t="s">
        <v>207</v>
      </c>
      <c r="H124" s="17" t="s">
        <v>331</v>
      </c>
      <c r="I124" s="17"/>
      <c r="J124" s="18" t="s">
        <v>149</v>
      </c>
      <c r="K124" s="12" t="s">
        <v>332</v>
      </c>
      <c r="L124" s="12" t="s">
        <v>47</v>
      </c>
      <c r="M124" s="7">
        <v>437.2</v>
      </c>
      <c r="N124" s="7">
        <v>393.48</v>
      </c>
      <c r="O124" s="7">
        <v>43.71999999999997</v>
      </c>
      <c r="P124" s="10" t="s">
        <v>213</v>
      </c>
      <c r="R124" s="7">
        <v>393.48</v>
      </c>
      <c r="Y124" s="7">
        <v>64</v>
      </c>
      <c r="Z124" s="7">
        <v>0.32</v>
      </c>
      <c r="AA124" s="7">
        <v>13.939200000000001</v>
      </c>
      <c r="AB124" s="7">
        <v>1.9674</v>
      </c>
      <c r="AC124" s="7">
        <v>85.699944000000016</v>
      </c>
      <c r="AD124" s="7">
        <v>9.9999999999999978E-2</v>
      </c>
      <c r="AF124" s="7">
        <f>IF(PRICING[[#This Row],[SKU]]=J123,AF123+1,1)</f>
        <v>3</v>
      </c>
    </row>
    <row r="125" spans="1:32">
      <c r="A125" s="7" t="s">
        <v>234</v>
      </c>
      <c r="B125" s="7" t="s">
        <v>190</v>
      </c>
      <c r="C125" s="7" t="s">
        <v>285</v>
      </c>
      <c r="E125" s="7" t="s">
        <v>330</v>
      </c>
      <c r="G125" s="12" t="s">
        <v>286</v>
      </c>
      <c r="H125" s="13"/>
      <c r="I125" s="13"/>
      <c r="J125" s="16">
        <v>11008513</v>
      </c>
      <c r="K125" s="12" t="s">
        <v>333</v>
      </c>
      <c r="L125" s="12" t="s">
        <v>334</v>
      </c>
      <c r="M125" s="7">
        <v>193.38</v>
      </c>
      <c r="N125" s="7">
        <v>193.38</v>
      </c>
      <c r="O125" s="7">
        <v>0</v>
      </c>
      <c r="P125" s="10" t="s">
        <v>220</v>
      </c>
      <c r="Q125" s="15">
        <v>21</v>
      </c>
      <c r="R125" s="7">
        <v>172.38</v>
      </c>
      <c r="Y125" s="7">
        <v>5.6438300000000003</v>
      </c>
      <c r="AB125" s="7">
        <v>0</v>
      </c>
      <c r="AC125" s="7">
        <v>0</v>
      </c>
      <c r="AD125" s="7">
        <v>0.1085944771951598</v>
      </c>
      <c r="AF125" s="7">
        <f>IF(PRICING[[#This Row],[SKU]]=J124,AF124+1,1)</f>
        <v>1</v>
      </c>
    </row>
    <row r="126" spans="1:32">
      <c r="A126" s="7" t="s">
        <v>189</v>
      </c>
      <c r="B126" s="7" t="s">
        <v>190</v>
      </c>
      <c r="C126" s="7" t="s">
        <v>191</v>
      </c>
      <c r="D126" s="7" t="s">
        <v>192</v>
      </c>
      <c r="E126" s="7" t="s">
        <v>330</v>
      </c>
      <c r="G126" s="12" t="s">
        <v>194</v>
      </c>
      <c r="H126" s="13"/>
      <c r="I126" s="13"/>
      <c r="K126" s="7" t="s">
        <v>335</v>
      </c>
      <c r="L126" s="7" t="s">
        <v>80</v>
      </c>
      <c r="N126" s="11"/>
      <c r="O126" s="11">
        <v>0</v>
      </c>
      <c r="Q126" s="15"/>
      <c r="Y126" s="7">
        <v>800</v>
      </c>
      <c r="AB126" s="7">
        <v>0</v>
      </c>
      <c r="AC126" s="7">
        <v>0</v>
      </c>
      <c r="AD126" s="7" t="e">
        <v>#DIV/0!</v>
      </c>
      <c r="AF126" s="7">
        <f>IF(PRICING[[#This Row],[SKU]]=J125,AF125+1,1)</f>
        <v>1</v>
      </c>
    </row>
    <row r="127" spans="1:32">
      <c r="A127" s="7" t="s">
        <v>234</v>
      </c>
      <c r="B127" s="7" t="s">
        <v>190</v>
      </c>
      <c r="C127" s="7" t="s">
        <v>219</v>
      </c>
      <c r="D127" s="7" t="s">
        <v>192</v>
      </c>
      <c r="E127" s="7" t="s">
        <v>330</v>
      </c>
      <c r="G127" s="12" t="s">
        <v>194</v>
      </c>
      <c r="H127" s="13"/>
      <c r="I127" s="13"/>
      <c r="J127" s="16" t="s">
        <v>229</v>
      </c>
      <c r="K127" s="12" t="s">
        <v>336</v>
      </c>
      <c r="L127" s="12" t="s">
        <v>80</v>
      </c>
      <c r="M127" s="7">
        <v>20</v>
      </c>
      <c r="N127" s="11">
        <v>20</v>
      </c>
      <c r="O127" s="11"/>
      <c r="Q127" s="11">
        <v>2</v>
      </c>
      <c r="AF127" s="7">
        <f>IF(PRICING[[#This Row],[SKU]]=J126,AF126+1,1)</f>
        <v>1</v>
      </c>
    </row>
    <row r="128" spans="1:32">
      <c r="A128" s="7" t="s">
        <v>234</v>
      </c>
      <c r="B128" s="7" t="s">
        <v>190</v>
      </c>
      <c r="C128" s="7" t="s">
        <v>219</v>
      </c>
      <c r="D128" s="7" t="s">
        <v>192</v>
      </c>
      <c r="E128" s="7" t="s">
        <v>330</v>
      </c>
      <c r="G128" s="7" t="s">
        <v>194</v>
      </c>
      <c r="H128" s="26"/>
      <c r="I128" s="25"/>
      <c r="J128" s="9" t="s">
        <v>229</v>
      </c>
      <c r="K128" s="12" t="s">
        <v>337</v>
      </c>
      <c r="L128" s="12" t="s">
        <v>80</v>
      </c>
      <c r="M128" s="7">
        <v>25</v>
      </c>
      <c r="N128" s="11">
        <v>25</v>
      </c>
      <c r="O128" s="11"/>
      <c r="Q128" s="11">
        <v>5</v>
      </c>
      <c r="AF128" s="7">
        <f>IF(PRICING[[#This Row],[SKU]]=J127,AF127+1,1)</f>
        <v>2</v>
      </c>
    </row>
    <row r="129" spans="1:32">
      <c r="A129" s="7" t="s">
        <v>234</v>
      </c>
      <c r="B129" s="7" t="s">
        <v>200</v>
      </c>
      <c r="C129" s="7" t="s">
        <v>219</v>
      </c>
      <c r="D129" s="7" t="s">
        <v>192</v>
      </c>
      <c r="E129" s="7" t="s">
        <v>330</v>
      </c>
      <c r="F129" s="7" t="s">
        <v>201</v>
      </c>
      <c r="G129" s="7" t="s">
        <v>194</v>
      </c>
      <c r="H129" s="26"/>
      <c r="I129" s="25"/>
      <c r="J129" s="16">
        <v>11015390</v>
      </c>
      <c r="K129" s="12" t="s">
        <v>338</v>
      </c>
      <c r="L129" s="12" t="s">
        <v>217</v>
      </c>
      <c r="M129" s="7">
        <v>630</v>
      </c>
      <c r="N129" s="11">
        <v>567</v>
      </c>
      <c r="O129" s="11">
        <v>63</v>
      </c>
      <c r="P129" s="10" t="s">
        <v>289</v>
      </c>
      <c r="R129" s="7">
        <v>567</v>
      </c>
      <c r="Y129" s="7">
        <v>16</v>
      </c>
      <c r="Z129" s="7">
        <v>6.1983471074380167E-2</v>
      </c>
      <c r="AA129" s="7">
        <v>2.7</v>
      </c>
      <c r="AB129" s="7">
        <v>2.196539256198347</v>
      </c>
      <c r="AC129" s="7">
        <v>95.681250000000006</v>
      </c>
      <c r="AD129" s="7">
        <v>9.9999999999999978E-2</v>
      </c>
      <c r="AF129" s="7">
        <f>IF(PRICING[[#This Row],[SKU]]=J128,AF128+1,1)</f>
        <v>1</v>
      </c>
    </row>
    <row r="130" spans="1:32">
      <c r="A130" s="7" t="s">
        <v>234</v>
      </c>
      <c r="B130" s="7" t="s">
        <v>200</v>
      </c>
      <c r="C130" s="7" t="s">
        <v>219</v>
      </c>
      <c r="D130" s="7" t="s">
        <v>192</v>
      </c>
      <c r="E130" s="7" t="s">
        <v>330</v>
      </c>
      <c r="F130" s="7" t="s">
        <v>201</v>
      </c>
      <c r="G130" s="12" t="s">
        <v>194</v>
      </c>
      <c r="H130" s="13"/>
      <c r="I130" s="13"/>
      <c r="J130" s="16">
        <v>11015390</v>
      </c>
      <c r="K130" s="7" t="s">
        <v>338</v>
      </c>
      <c r="L130" s="7" t="s">
        <v>217</v>
      </c>
      <c r="M130" s="7">
        <v>630</v>
      </c>
      <c r="N130" s="11">
        <v>567</v>
      </c>
      <c r="O130" s="11">
        <v>63</v>
      </c>
      <c r="P130" s="10" t="s">
        <v>339</v>
      </c>
      <c r="Q130" s="15">
        <v>90</v>
      </c>
      <c r="R130" s="7">
        <v>477</v>
      </c>
      <c r="Y130" s="7">
        <v>16</v>
      </c>
      <c r="Z130" s="7">
        <v>0.06</v>
      </c>
      <c r="AA130" s="7">
        <v>2.7</v>
      </c>
      <c r="AB130" s="7">
        <v>1.7887499999999998</v>
      </c>
      <c r="AC130" s="7">
        <v>80.493750000000006</v>
      </c>
      <c r="AD130" s="7">
        <v>0.24285714285714288</v>
      </c>
      <c r="AF130" s="7">
        <f>IF(PRICING[[#This Row],[SKU]]=J129,AF129+1,1)</f>
        <v>2</v>
      </c>
    </row>
    <row r="131" spans="1:32">
      <c r="A131" s="7" t="s">
        <v>234</v>
      </c>
      <c r="B131" s="7" t="s">
        <v>200</v>
      </c>
      <c r="C131" s="7" t="s">
        <v>219</v>
      </c>
      <c r="D131" s="7" t="s">
        <v>192</v>
      </c>
      <c r="E131" s="7" t="s">
        <v>330</v>
      </c>
      <c r="F131" s="7" t="s">
        <v>201</v>
      </c>
      <c r="G131" s="12" t="s">
        <v>194</v>
      </c>
      <c r="H131" s="13"/>
      <c r="I131" s="13"/>
      <c r="J131" s="16">
        <v>11015390</v>
      </c>
      <c r="K131" s="7" t="s">
        <v>338</v>
      </c>
      <c r="L131" s="7" t="s">
        <v>217</v>
      </c>
      <c r="M131" s="7">
        <v>630</v>
      </c>
      <c r="N131" s="11">
        <v>567</v>
      </c>
      <c r="O131" s="11">
        <v>63</v>
      </c>
      <c r="P131" s="10" t="s">
        <v>340</v>
      </c>
      <c r="Q131" s="15">
        <v>120</v>
      </c>
      <c r="R131" s="7">
        <v>447</v>
      </c>
      <c r="Y131" s="7">
        <v>16</v>
      </c>
      <c r="Z131" s="7">
        <v>0.06</v>
      </c>
      <c r="AA131" s="7">
        <v>2.7</v>
      </c>
      <c r="AB131" s="7">
        <v>1.67625</v>
      </c>
      <c r="AC131" s="7">
        <v>75.431250000000006</v>
      </c>
      <c r="AD131" s="7">
        <v>0.29047619047619044</v>
      </c>
      <c r="AF131" s="7">
        <f>IF(PRICING[[#This Row],[SKU]]=J130,AF130+1,1)</f>
        <v>3</v>
      </c>
    </row>
    <row r="132" spans="1:32">
      <c r="A132" s="7" t="s">
        <v>234</v>
      </c>
      <c r="B132" s="7" t="s">
        <v>200</v>
      </c>
      <c r="C132" s="7" t="s">
        <v>219</v>
      </c>
      <c r="D132" s="7" t="s">
        <v>192</v>
      </c>
      <c r="E132" s="7" t="s">
        <v>330</v>
      </c>
      <c r="F132" s="7" t="s">
        <v>201</v>
      </c>
      <c r="G132" s="12" t="s">
        <v>194</v>
      </c>
      <c r="H132" s="13"/>
      <c r="I132" s="13"/>
      <c r="J132" s="16">
        <v>11015390</v>
      </c>
      <c r="K132" s="7" t="s">
        <v>338</v>
      </c>
      <c r="L132" s="7" t="s">
        <v>217</v>
      </c>
      <c r="M132" s="7">
        <v>630</v>
      </c>
      <c r="N132" s="11">
        <v>567</v>
      </c>
      <c r="O132" s="11">
        <v>63</v>
      </c>
      <c r="P132" s="10" t="s">
        <v>239</v>
      </c>
      <c r="Q132" s="11">
        <v>160</v>
      </c>
      <c r="R132" s="7">
        <v>407</v>
      </c>
      <c r="Y132" s="7">
        <v>16</v>
      </c>
      <c r="Z132" s="7">
        <v>0.06</v>
      </c>
      <c r="AA132" s="7">
        <v>2.7</v>
      </c>
      <c r="AB132" s="7">
        <v>1.5262499999999999</v>
      </c>
      <c r="AC132" s="7">
        <v>68.681250000000006</v>
      </c>
      <c r="AD132" s="7">
        <v>0.35396825396825393</v>
      </c>
      <c r="AF132" s="7">
        <f>IF(PRICING[[#This Row],[SKU]]=J131,AF131+1,1)</f>
        <v>4</v>
      </c>
    </row>
    <row r="133" spans="1:32">
      <c r="A133" s="7" t="s">
        <v>234</v>
      </c>
      <c r="B133" s="7" t="s">
        <v>200</v>
      </c>
      <c r="C133" s="7" t="s">
        <v>219</v>
      </c>
      <c r="D133" s="7" t="s">
        <v>192</v>
      </c>
      <c r="E133" s="7" t="s">
        <v>330</v>
      </c>
      <c r="F133" s="7" t="s">
        <v>201</v>
      </c>
      <c r="G133" s="12" t="s">
        <v>194</v>
      </c>
      <c r="H133" s="13"/>
      <c r="I133" s="13"/>
      <c r="J133" s="16">
        <v>11015391</v>
      </c>
      <c r="K133" s="7" t="s">
        <v>338</v>
      </c>
      <c r="L133" s="7" t="s">
        <v>47</v>
      </c>
      <c r="M133" s="7">
        <v>2362.6</v>
      </c>
      <c r="N133" s="11">
        <v>2126.34</v>
      </c>
      <c r="O133" s="11">
        <v>236.25999999999976</v>
      </c>
      <c r="P133" s="19"/>
      <c r="Q133" s="15"/>
      <c r="R133" s="7">
        <v>2126.34</v>
      </c>
      <c r="Y133" s="7">
        <v>64</v>
      </c>
      <c r="Z133" s="7">
        <v>0.06</v>
      </c>
      <c r="AA133" s="7">
        <v>2.7</v>
      </c>
      <c r="AB133" s="7">
        <v>1.99344375</v>
      </c>
      <c r="AC133" s="7">
        <v>89.704968750000006</v>
      </c>
      <c r="AD133" s="7">
        <v>9.9999999999999867E-2</v>
      </c>
      <c r="AF133" s="7">
        <f>IF(PRICING[[#This Row],[SKU]]=J132,AF132+1,1)</f>
        <v>1</v>
      </c>
    </row>
    <row r="134" spans="1:32">
      <c r="A134" s="7" t="s">
        <v>234</v>
      </c>
      <c r="B134" s="7" t="s">
        <v>200</v>
      </c>
      <c r="C134" s="7" t="s">
        <v>219</v>
      </c>
      <c r="D134" s="7" t="s">
        <v>192</v>
      </c>
      <c r="E134" s="7" t="s">
        <v>330</v>
      </c>
      <c r="F134" s="7" t="s">
        <v>201</v>
      </c>
      <c r="G134" s="12" t="s">
        <v>194</v>
      </c>
      <c r="H134" s="13"/>
      <c r="I134" s="13"/>
      <c r="J134" s="16">
        <v>11015391</v>
      </c>
      <c r="K134" s="7" t="s">
        <v>338</v>
      </c>
      <c r="L134" s="7" t="s">
        <v>47</v>
      </c>
      <c r="M134" s="7">
        <v>2362.6</v>
      </c>
      <c r="N134" s="11">
        <v>2126.34</v>
      </c>
      <c r="O134" s="11">
        <v>236.25999999999976</v>
      </c>
      <c r="P134" s="10" t="s">
        <v>218</v>
      </c>
      <c r="Q134" s="15">
        <v>557</v>
      </c>
      <c r="R134" s="7">
        <v>1569.3400000000001</v>
      </c>
      <c r="Y134" s="7">
        <v>64</v>
      </c>
      <c r="Z134" s="7">
        <v>0.06</v>
      </c>
      <c r="AA134" s="7">
        <v>2.7</v>
      </c>
      <c r="AB134" s="7">
        <v>1.4712562500000002</v>
      </c>
      <c r="AC134" s="7">
        <v>66.206531250000012</v>
      </c>
      <c r="AD134" s="7">
        <v>0.3357572166257512</v>
      </c>
      <c r="AF134" s="7">
        <f>IF(PRICING[[#This Row],[SKU]]=J133,AF133+1,1)</f>
        <v>2</v>
      </c>
    </row>
    <row r="135" spans="1:32">
      <c r="A135" s="7" t="s">
        <v>234</v>
      </c>
      <c r="B135" s="7" t="s">
        <v>200</v>
      </c>
      <c r="C135" s="7" t="s">
        <v>196</v>
      </c>
      <c r="E135" s="7" t="s">
        <v>330</v>
      </c>
      <c r="G135" s="12" t="s">
        <v>280</v>
      </c>
      <c r="H135" s="13"/>
      <c r="I135" s="13"/>
      <c r="J135" s="16">
        <v>11015391</v>
      </c>
      <c r="K135" s="7" t="s">
        <v>338</v>
      </c>
      <c r="L135" s="7" t="s">
        <v>47</v>
      </c>
      <c r="M135" s="7">
        <v>2362.6</v>
      </c>
      <c r="N135" s="11">
        <v>2126.34</v>
      </c>
      <c r="O135" s="11">
        <v>236.25999999999976</v>
      </c>
      <c r="P135" s="10" t="s">
        <v>220</v>
      </c>
      <c r="Q135" s="15">
        <v>657</v>
      </c>
      <c r="R135" s="7">
        <v>1469.3400000000001</v>
      </c>
      <c r="Y135" s="7">
        <v>64</v>
      </c>
      <c r="Z135" s="7">
        <v>0.06</v>
      </c>
      <c r="AA135" s="7">
        <v>2.7</v>
      </c>
      <c r="AB135" s="7">
        <v>1.3775062500000002</v>
      </c>
      <c r="AC135" s="7">
        <v>61.987781250000012</v>
      </c>
      <c r="AD135" s="7">
        <v>0.37808346736646059</v>
      </c>
      <c r="AF135" s="7">
        <f>IF(PRICING[[#This Row],[SKU]]=J134,AF134+1,1)</f>
        <v>3</v>
      </c>
    </row>
    <row r="136" spans="1:32">
      <c r="A136" s="7" t="s">
        <v>189</v>
      </c>
      <c r="B136" s="7" t="s">
        <v>190</v>
      </c>
      <c r="C136" s="7" t="s">
        <v>219</v>
      </c>
      <c r="D136" s="7" t="s">
        <v>192</v>
      </c>
      <c r="E136" s="7" t="s">
        <v>330</v>
      </c>
      <c r="G136" s="12" t="s">
        <v>194</v>
      </c>
      <c r="H136" s="13" t="s">
        <v>341</v>
      </c>
      <c r="I136" s="13"/>
      <c r="J136" s="16" t="s">
        <v>150</v>
      </c>
      <c r="K136" s="7" t="s">
        <v>342</v>
      </c>
      <c r="L136" s="7" t="s">
        <v>204</v>
      </c>
      <c r="M136" s="7">
        <v>270.45599999999996</v>
      </c>
      <c r="N136" s="11">
        <v>270.45599999999996</v>
      </c>
      <c r="O136" s="11">
        <v>0</v>
      </c>
      <c r="Q136" s="15"/>
      <c r="R136" s="7">
        <v>270.45599999999996</v>
      </c>
      <c r="Y136" s="7">
        <v>320</v>
      </c>
      <c r="Z136" s="7">
        <v>6.9</v>
      </c>
      <c r="AA136" s="7">
        <v>300.56400000000002</v>
      </c>
      <c r="AB136" s="7">
        <v>5.8317074999999994</v>
      </c>
      <c r="AC136" s="7">
        <v>254.02917869999999</v>
      </c>
      <c r="AD136" s="7">
        <v>0</v>
      </c>
      <c r="AF136" s="7">
        <f>IF(PRICING[[#This Row],[SKU]]=J135,AF135+1,1)</f>
        <v>1</v>
      </c>
    </row>
    <row r="137" spans="1:32">
      <c r="A137" s="7" t="s">
        <v>189</v>
      </c>
      <c r="B137" s="7" t="s">
        <v>190</v>
      </c>
      <c r="C137" s="7" t="s">
        <v>285</v>
      </c>
      <c r="E137" s="7" t="s">
        <v>330</v>
      </c>
      <c r="G137" s="12" t="s">
        <v>286</v>
      </c>
      <c r="H137" s="13"/>
      <c r="I137" s="13"/>
      <c r="J137" s="16" t="s">
        <v>151</v>
      </c>
      <c r="K137" s="12" t="s">
        <v>343</v>
      </c>
      <c r="L137" s="12" t="s">
        <v>344</v>
      </c>
      <c r="M137" s="7">
        <v>329.75</v>
      </c>
      <c r="N137" s="7">
        <v>329.75</v>
      </c>
      <c r="O137" s="7">
        <v>0</v>
      </c>
      <c r="P137" s="10" t="s">
        <v>218</v>
      </c>
      <c r="Q137" s="15">
        <v>50</v>
      </c>
      <c r="AD137" s="7">
        <v>1</v>
      </c>
      <c r="AF137" s="7">
        <f>IF(PRICING[[#This Row],[SKU]]=J136,AF136+1,1)</f>
        <v>1</v>
      </c>
    </row>
    <row r="138" spans="1:32">
      <c r="A138" s="7" t="s">
        <v>189</v>
      </c>
      <c r="B138" s="7" t="s">
        <v>190</v>
      </c>
      <c r="C138" s="7" t="s">
        <v>219</v>
      </c>
      <c r="D138" s="7" t="s">
        <v>192</v>
      </c>
      <c r="E138" s="7" t="s">
        <v>330</v>
      </c>
      <c r="G138" s="12" t="s">
        <v>194</v>
      </c>
      <c r="H138" s="17"/>
      <c r="I138" s="13"/>
      <c r="J138" s="16">
        <v>3944704</v>
      </c>
      <c r="K138" s="12" t="s">
        <v>345</v>
      </c>
      <c r="L138" s="12" t="s">
        <v>346</v>
      </c>
      <c r="M138" s="7">
        <v>304.73999999999995</v>
      </c>
      <c r="N138" s="7">
        <v>304.73999999999995</v>
      </c>
      <c r="O138" s="7">
        <v>0</v>
      </c>
      <c r="Q138" s="15">
        <v>22</v>
      </c>
      <c r="R138" s="7">
        <v>282.73999999999995</v>
      </c>
      <c r="Y138" s="7">
        <v>8</v>
      </c>
      <c r="Z138" s="7">
        <v>0</v>
      </c>
      <c r="AA138" s="7">
        <v>0</v>
      </c>
      <c r="AB138" s="7">
        <v>0</v>
      </c>
      <c r="AC138" s="7">
        <v>0</v>
      </c>
      <c r="AD138" s="7">
        <v>7.2192688849511022E-2</v>
      </c>
      <c r="AF138" s="7">
        <f>IF(PRICING[[#This Row],[SKU]]=J137,AF137+1,1)</f>
        <v>1</v>
      </c>
    </row>
    <row r="139" spans="1:32">
      <c r="A139" s="7" t="s">
        <v>189</v>
      </c>
      <c r="B139" s="7" t="s">
        <v>200</v>
      </c>
      <c r="C139" s="7" t="s">
        <v>285</v>
      </c>
      <c r="D139" s="7" t="s">
        <v>269</v>
      </c>
      <c r="E139" s="7" t="s">
        <v>330</v>
      </c>
      <c r="G139" s="12" t="s">
        <v>286</v>
      </c>
      <c r="H139" s="13">
        <v>84915440</v>
      </c>
      <c r="I139" s="13"/>
      <c r="J139" s="9" t="s">
        <v>152</v>
      </c>
      <c r="K139" s="7" t="s">
        <v>347</v>
      </c>
      <c r="L139" s="7" t="s">
        <v>348</v>
      </c>
      <c r="M139" s="21"/>
      <c r="N139" s="11"/>
      <c r="O139" s="11">
        <v>0</v>
      </c>
      <c r="Q139" s="15"/>
      <c r="R139" s="7">
        <v>0</v>
      </c>
      <c r="AD139" s="7" t="e">
        <v>#DIV/0!</v>
      </c>
      <c r="AF139" s="7">
        <f>IF(PRICING[[#This Row],[SKU]]=J138,AF138+1,1)</f>
        <v>1</v>
      </c>
    </row>
    <row r="140" spans="1:32">
      <c r="A140" s="7" t="s">
        <v>189</v>
      </c>
      <c r="B140" s="7" t="s">
        <v>200</v>
      </c>
      <c r="C140" s="7" t="s">
        <v>285</v>
      </c>
      <c r="E140" s="7" t="s">
        <v>330</v>
      </c>
      <c r="G140" s="12" t="s">
        <v>286</v>
      </c>
      <c r="H140" s="13"/>
      <c r="I140" s="13"/>
      <c r="J140" s="9" t="s">
        <v>153</v>
      </c>
      <c r="K140" s="7" t="s">
        <v>347</v>
      </c>
      <c r="L140" s="7" t="s">
        <v>344</v>
      </c>
      <c r="M140" s="21">
        <v>744</v>
      </c>
      <c r="N140" s="21">
        <v>744</v>
      </c>
      <c r="O140" s="21">
        <v>0</v>
      </c>
      <c r="P140" s="10" t="s">
        <v>289</v>
      </c>
      <c r="Q140" s="24"/>
      <c r="R140" s="7">
        <v>744</v>
      </c>
      <c r="AD140" s="7">
        <v>0</v>
      </c>
      <c r="AF140" s="7">
        <f>IF(PRICING[[#This Row],[SKU]]=J139,AF139+1,1)</f>
        <v>1</v>
      </c>
    </row>
    <row r="141" spans="1:32">
      <c r="A141" s="7" t="s">
        <v>189</v>
      </c>
      <c r="B141" s="7" t="s">
        <v>200</v>
      </c>
      <c r="C141" s="7" t="s">
        <v>285</v>
      </c>
      <c r="E141" s="7" t="s">
        <v>330</v>
      </c>
      <c r="G141" s="12" t="s">
        <v>286</v>
      </c>
      <c r="H141" s="29"/>
      <c r="I141" s="13"/>
      <c r="J141" s="9" t="s">
        <v>153</v>
      </c>
      <c r="K141" s="12" t="s">
        <v>347</v>
      </c>
      <c r="L141" s="12" t="s">
        <v>344</v>
      </c>
      <c r="M141" s="21">
        <v>744</v>
      </c>
      <c r="N141" s="21">
        <v>706.8</v>
      </c>
      <c r="O141" s="21">
        <v>37.200000000000045</v>
      </c>
      <c r="P141" s="19" t="s">
        <v>290</v>
      </c>
      <c r="R141" s="7">
        <v>706.8</v>
      </c>
      <c r="AD141" s="7">
        <v>5.0000000000000044E-2</v>
      </c>
      <c r="AF141" s="7">
        <f>IF(PRICING[[#This Row],[SKU]]=J140,AF140+1,1)</f>
        <v>2</v>
      </c>
    </row>
    <row r="142" spans="1:32">
      <c r="A142" s="7" t="s">
        <v>189</v>
      </c>
      <c r="B142" s="7" t="s">
        <v>200</v>
      </c>
      <c r="C142" s="7" t="s">
        <v>285</v>
      </c>
      <c r="E142" s="7" t="s">
        <v>330</v>
      </c>
      <c r="G142" s="12" t="s">
        <v>286</v>
      </c>
      <c r="H142" s="29"/>
      <c r="I142" s="13"/>
      <c r="J142" s="9" t="s">
        <v>153</v>
      </c>
      <c r="K142" s="12" t="s">
        <v>347</v>
      </c>
      <c r="L142" s="12" t="s">
        <v>344</v>
      </c>
      <c r="M142" s="21">
        <v>744</v>
      </c>
      <c r="N142" s="21">
        <v>669.6</v>
      </c>
      <c r="O142" s="21">
        <v>74.399999999999977</v>
      </c>
      <c r="P142" s="19" t="s">
        <v>239</v>
      </c>
      <c r="Q142" s="15"/>
      <c r="R142" s="7">
        <v>669.6</v>
      </c>
      <c r="AD142" s="7">
        <v>9.9999999999999978E-2</v>
      </c>
      <c r="AF142" s="7">
        <f>IF(PRICING[[#This Row],[SKU]]=J141,AF141+1,1)</f>
        <v>3</v>
      </c>
    </row>
    <row r="143" spans="1:32">
      <c r="A143" s="7" t="s">
        <v>189</v>
      </c>
      <c r="B143" s="7" t="s">
        <v>190</v>
      </c>
      <c r="C143" s="7" t="s">
        <v>219</v>
      </c>
      <c r="D143" s="7" t="s">
        <v>192</v>
      </c>
      <c r="E143" s="7" t="s">
        <v>330</v>
      </c>
      <c r="G143" s="12" t="s">
        <v>194</v>
      </c>
      <c r="H143" s="29" t="s">
        <v>349</v>
      </c>
      <c r="I143" s="13"/>
      <c r="J143" s="9" t="s">
        <v>154</v>
      </c>
      <c r="K143" s="7" t="s">
        <v>350</v>
      </c>
      <c r="L143" s="7" t="s">
        <v>66</v>
      </c>
      <c r="M143" s="21">
        <v>63</v>
      </c>
      <c r="N143" s="21">
        <v>63</v>
      </c>
      <c r="O143" s="21">
        <v>0</v>
      </c>
      <c r="R143" s="7">
        <v>63</v>
      </c>
      <c r="Y143" s="7">
        <v>128</v>
      </c>
      <c r="Z143" s="7">
        <v>0.6</v>
      </c>
      <c r="AA143" s="7">
        <v>26.135999999999999</v>
      </c>
      <c r="AB143" s="7">
        <v>0.29531249999999998</v>
      </c>
      <c r="AC143" s="7">
        <v>12.8638125</v>
      </c>
      <c r="AD143" s="7">
        <v>0</v>
      </c>
      <c r="AF143" s="7">
        <f>IF(PRICING[[#This Row],[SKU]]=J142,AF142+1,1)</f>
        <v>1</v>
      </c>
    </row>
    <row r="144" spans="1:32">
      <c r="A144" s="7" t="s">
        <v>189</v>
      </c>
      <c r="B144" s="7" t="s">
        <v>200</v>
      </c>
      <c r="C144" s="7" t="s">
        <v>285</v>
      </c>
      <c r="E144" s="7" t="s">
        <v>330</v>
      </c>
      <c r="G144" s="12" t="s">
        <v>286</v>
      </c>
      <c r="H144" s="13" t="s">
        <v>351</v>
      </c>
      <c r="I144" s="13"/>
      <c r="J144" s="9" t="s">
        <v>155</v>
      </c>
      <c r="K144" s="7" t="s">
        <v>352</v>
      </c>
      <c r="L144" s="7" t="s">
        <v>300</v>
      </c>
      <c r="M144" s="7">
        <v>384.8</v>
      </c>
      <c r="N144" s="7">
        <v>384.8</v>
      </c>
      <c r="O144" s="7">
        <v>0</v>
      </c>
      <c r="P144" s="10" t="s">
        <v>303</v>
      </c>
      <c r="R144" s="7">
        <v>384.8</v>
      </c>
      <c r="AD144" s="7">
        <v>0</v>
      </c>
      <c r="AF144" s="7">
        <f>IF(PRICING[[#This Row],[SKU]]=J143,AF143+1,1)</f>
        <v>1</v>
      </c>
    </row>
    <row r="145" spans="1:32">
      <c r="A145" s="7" t="s">
        <v>189</v>
      </c>
      <c r="B145" s="7" t="s">
        <v>200</v>
      </c>
      <c r="C145" s="7" t="s">
        <v>285</v>
      </c>
      <c r="E145" s="7" t="s">
        <v>330</v>
      </c>
      <c r="G145" s="12" t="s">
        <v>286</v>
      </c>
      <c r="H145" s="13" t="s">
        <v>351</v>
      </c>
      <c r="I145" s="13"/>
      <c r="J145" s="16" t="s">
        <v>155</v>
      </c>
      <c r="K145" s="12" t="s">
        <v>352</v>
      </c>
      <c r="L145" s="12" t="s">
        <v>300</v>
      </c>
      <c r="M145" s="7">
        <v>384.8</v>
      </c>
      <c r="N145" s="7">
        <v>365.56</v>
      </c>
      <c r="O145" s="7">
        <v>19.240000000000009</v>
      </c>
      <c r="P145" s="10" t="s">
        <v>353</v>
      </c>
      <c r="R145" s="7">
        <v>365.56</v>
      </c>
      <c r="AD145" s="7">
        <v>5.0000000000000044E-2</v>
      </c>
      <c r="AF145" s="7">
        <f>IF(PRICING[[#This Row],[SKU]]=J144,AF144+1,1)</f>
        <v>2</v>
      </c>
    </row>
    <row r="146" spans="1:32">
      <c r="A146" s="7" t="s">
        <v>189</v>
      </c>
      <c r="B146" s="7" t="s">
        <v>200</v>
      </c>
      <c r="C146" s="7" t="s">
        <v>285</v>
      </c>
      <c r="E146" s="7" t="s">
        <v>330</v>
      </c>
      <c r="G146" s="12" t="s">
        <v>286</v>
      </c>
      <c r="H146" s="13" t="s">
        <v>351</v>
      </c>
      <c r="I146" s="13"/>
      <c r="J146" s="16" t="s">
        <v>155</v>
      </c>
      <c r="K146" s="12" t="s">
        <v>352</v>
      </c>
      <c r="L146" s="12" t="s">
        <v>300</v>
      </c>
      <c r="M146" s="7">
        <v>384.8</v>
      </c>
      <c r="N146" s="7">
        <v>346.32</v>
      </c>
      <c r="O146" s="7">
        <v>38.480000000000018</v>
      </c>
      <c r="P146" s="10" t="s">
        <v>354</v>
      </c>
      <c r="R146" s="7">
        <v>346.32</v>
      </c>
      <c r="AD146" s="7">
        <v>0.10000000000000009</v>
      </c>
      <c r="AF146" s="7">
        <f>IF(PRICING[[#This Row],[SKU]]=J145,AF145+1,1)</f>
        <v>3</v>
      </c>
    </row>
    <row r="147" spans="1:32">
      <c r="A147" s="7" t="s">
        <v>189</v>
      </c>
      <c r="B147" s="7" t="s">
        <v>200</v>
      </c>
      <c r="C147" s="7" t="s">
        <v>196</v>
      </c>
      <c r="D147" s="7" t="s">
        <v>192</v>
      </c>
      <c r="E147" s="7" t="s">
        <v>330</v>
      </c>
      <c r="G147" s="12" t="s">
        <v>194</v>
      </c>
      <c r="H147" s="13"/>
      <c r="I147" s="13"/>
      <c r="J147" s="16">
        <v>11009495</v>
      </c>
      <c r="K147" s="12" t="s">
        <v>355</v>
      </c>
      <c r="L147" s="12" t="s">
        <v>356</v>
      </c>
      <c r="M147" s="7">
        <v>156.6</v>
      </c>
      <c r="N147" s="7">
        <v>156.6</v>
      </c>
      <c r="O147" s="7">
        <v>0</v>
      </c>
      <c r="Q147" s="11">
        <v>38</v>
      </c>
      <c r="R147" s="7">
        <v>118.6</v>
      </c>
      <c r="Y147" s="7">
        <v>32</v>
      </c>
      <c r="Z147" s="7" t="e">
        <v>#N/A</v>
      </c>
      <c r="AA147" s="7" t="e">
        <v>#N/A</v>
      </c>
      <c r="AB147" s="7" t="e">
        <v>#N/A</v>
      </c>
      <c r="AC147" s="7" t="e">
        <v>#N/A</v>
      </c>
      <c r="AD147" s="7">
        <v>0.24265644955300125</v>
      </c>
      <c r="AF147" s="7">
        <f>IF(PRICING[[#This Row],[SKU]]=J146,AF146+1,1)</f>
        <v>1</v>
      </c>
    </row>
    <row r="148" spans="1:32">
      <c r="A148" s="7" t="s">
        <v>189</v>
      </c>
      <c r="B148" s="7" t="s">
        <v>190</v>
      </c>
      <c r="C148" s="7" t="s">
        <v>285</v>
      </c>
      <c r="E148" s="7" t="s">
        <v>330</v>
      </c>
      <c r="G148" s="12" t="s">
        <v>286</v>
      </c>
      <c r="H148" s="13"/>
      <c r="I148" s="13"/>
      <c r="J148" s="16" t="s">
        <v>156</v>
      </c>
      <c r="K148" s="12" t="s">
        <v>357</v>
      </c>
      <c r="L148" s="12" t="s">
        <v>344</v>
      </c>
      <c r="M148" s="7">
        <v>417.59999999999997</v>
      </c>
      <c r="N148" s="7">
        <v>417.59999999999997</v>
      </c>
      <c r="O148" s="7">
        <v>0</v>
      </c>
      <c r="P148" s="10" t="s">
        <v>218</v>
      </c>
      <c r="Q148" s="11">
        <v>25</v>
      </c>
      <c r="AD148" s="7">
        <v>1</v>
      </c>
      <c r="AF148" s="7">
        <f>IF(PRICING[[#This Row],[SKU]]=J147,AF147+1,1)</f>
        <v>1</v>
      </c>
    </row>
    <row r="149" spans="1:32">
      <c r="A149" s="7" t="s">
        <v>234</v>
      </c>
      <c r="B149" s="7" t="s">
        <v>190</v>
      </c>
      <c r="C149" s="7" t="s">
        <v>191</v>
      </c>
      <c r="D149" s="7" t="s">
        <v>192</v>
      </c>
      <c r="E149" s="7" t="s">
        <v>330</v>
      </c>
      <c r="G149" s="12" t="s">
        <v>207</v>
      </c>
      <c r="H149" s="13"/>
      <c r="I149" s="13"/>
      <c r="J149" s="16">
        <v>11008457</v>
      </c>
      <c r="K149" s="7" t="s">
        <v>358</v>
      </c>
      <c r="L149" s="7" t="s">
        <v>66</v>
      </c>
      <c r="M149" s="7">
        <v>60.72</v>
      </c>
      <c r="N149" s="11">
        <v>60.72</v>
      </c>
      <c r="O149" s="11">
        <v>0</v>
      </c>
      <c r="P149" s="10" t="s">
        <v>218</v>
      </c>
      <c r="Q149" s="15">
        <v>6</v>
      </c>
      <c r="R149" s="7">
        <v>54.72</v>
      </c>
      <c r="Y149" s="7">
        <v>128</v>
      </c>
      <c r="Z149" s="7">
        <v>0</v>
      </c>
      <c r="AA149" s="7">
        <v>0</v>
      </c>
      <c r="AB149" s="7">
        <v>0</v>
      </c>
      <c r="AC149" s="7">
        <v>0</v>
      </c>
      <c r="AD149" s="7">
        <v>9.8814229249011842E-2</v>
      </c>
    </row>
    <row r="150" spans="1:32">
      <c r="A150" s="7" t="s">
        <v>189</v>
      </c>
      <c r="B150" s="7" t="s">
        <v>200</v>
      </c>
      <c r="C150" s="7" t="s">
        <v>219</v>
      </c>
      <c r="D150" s="7" t="s">
        <v>192</v>
      </c>
      <c r="E150" s="7" t="s">
        <v>330</v>
      </c>
      <c r="G150" s="12" t="s">
        <v>194</v>
      </c>
      <c r="H150" s="13"/>
      <c r="I150" s="13"/>
      <c r="J150" s="16">
        <v>86797658</v>
      </c>
      <c r="K150" s="7" t="s">
        <v>359</v>
      </c>
      <c r="L150" s="7" t="s">
        <v>360</v>
      </c>
      <c r="M150" s="7">
        <v>528</v>
      </c>
      <c r="N150" s="11">
        <v>528</v>
      </c>
      <c r="O150" s="11">
        <v>0</v>
      </c>
      <c r="Q150" s="15"/>
      <c r="R150" s="7">
        <v>528</v>
      </c>
      <c r="Y150" s="7">
        <v>128</v>
      </c>
      <c r="Z150" s="7">
        <v>0.73</v>
      </c>
      <c r="AA150" s="7">
        <v>31.7988</v>
      </c>
      <c r="AB150" s="7">
        <v>3.01125</v>
      </c>
      <c r="AC150" s="7">
        <v>131.17005</v>
      </c>
      <c r="AD150" s="7">
        <v>0</v>
      </c>
    </row>
    <row r="151" spans="1:32">
      <c r="A151" s="7" t="s">
        <v>189</v>
      </c>
      <c r="B151" s="7" t="s">
        <v>200</v>
      </c>
      <c r="C151" s="7" t="s">
        <v>219</v>
      </c>
      <c r="D151" s="7" t="s">
        <v>192</v>
      </c>
      <c r="E151" s="7" t="s">
        <v>330</v>
      </c>
      <c r="G151" s="12" t="s">
        <v>194</v>
      </c>
      <c r="H151" s="13"/>
      <c r="I151" s="13"/>
      <c r="J151" s="16">
        <v>86797658</v>
      </c>
      <c r="K151" s="7" t="s">
        <v>359</v>
      </c>
      <c r="L151" s="7" t="s">
        <v>360</v>
      </c>
      <c r="M151" s="7">
        <v>528</v>
      </c>
      <c r="N151" s="11">
        <v>528</v>
      </c>
      <c r="O151" s="11">
        <v>0</v>
      </c>
      <c r="P151" s="10" t="s">
        <v>218</v>
      </c>
      <c r="Q151" s="15">
        <v>40</v>
      </c>
      <c r="R151" s="7">
        <v>488</v>
      </c>
      <c r="Y151" s="7">
        <v>128</v>
      </c>
      <c r="Z151" s="7">
        <v>0.73</v>
      </c>
      <c r="AA151" s="7">
        <v>31.7988</v>
      </c>
      <c r="AB151" s="7">
        <v>2.7831250000000001</v>
      </c>
      <c r="AC151" s="7">
        <v>121.23292499999999</v>
      </c>
      <c r="AD151" s="7">
        <v>7.5757575757575801E-2</v>
      </c>
    </row>
    <row r="152" spans="1:32">
      <c r="A152" s="7" t="s">
        <v>189</v>
      </c>
      <c r="B152" s="7" t="s">
        <v>190</v>
      </c>
      <c r="C152" s="7" t="s">
        <v>219</v>
      </c>
      <c r="D152" s="7" t="s">
        <v>269</v>
      </c>
      <c r="E152" s="7" t="s">
        <v>330</v>
      </c>
      <c r="G152" s="12" t="s">
        <v>194</v>
      </c>
      <c r="H152" s="13" t="s">
        <v>361</v>
      </c>
      <c r="I152" s="13"/>
      <c r="J152" s="16" t="s">
        <v>157</v>
      </c>
      <c r="K152" s="7" t="s">
        <v>362</v>
      </c>
      <c r="L152" s="7" t="s">
        <v>80</v>
      </c>
      <c r="M152" s="7">
        <v>76.2</v>
      </c>
      <c r="N152" s="11">
        <v>76.2</v>
      </c>
      <c r="O152" s="11">
        <v>0</v>
      </c>
      <c r="Q152" s="15">
        <v>2</v>
      </c>
      <c r="R152" s="7">
        <v>74.2</v>
      </c>
      <c r="Y152" s="7">
        <v>800</v>
      </c>
      <c r="Z152" s="7">
        <v>31.96</v>
      </c>
      <c r="AA152" s="7">
        <v>1392.1776000000002</v>
      </c>
      <c r="AB152" s="7">
        <v>2.9642900000000001</v>
      </c>
      <c r="AC152" s="7">
        <v>129.12447240000003</v>
      </c>
      <c r="AD152" s="7">
        <v>2.6246719160105014E-2</v>
      </c>
    </row>
    <row r="153" spans="1:32">
      <c r="A153" s="7" t="s">
        <v>234</v>
      </c>
      <c r="B153" s="7" t="s">
        <v>200</v>
      </c>
      <c r="C153" s="7" t="s">
        <v>191</v>
      </c>
      <c r="D153" s="7" t="s">
        <v>192</v>
      </c>
      <c r="E153" s="7" t="s">
        <v>330</v>
      </c>
      <c r="F153" s="7" t="s">
        <v>201</v>
      </c>
      <c r="G153" s="12" t="s">
        <v>194</v>
      </c>
      <c r="H153" s="13"/>
      <c r="I153" s="13"/>
      <c r="J153" s="16">
        <v>11008521</v>
      </c>
      <c r="K153" s="7" t="s">
        <v>363</v>
      </c>
      <c r="L153" s="7" t="s">
        <v>66</v>
      </c>
      <c r="M153" s="7">
        <v>348.2</v>
      </c>
      <c r="N153" s="11">
        <v>330.79</v>
      </c>
      <c r="O153" s="11">
        <v>17.409999999999968</v>
      </c>
      <c r="Q153" s="15"/>
      <c r="R153" s="7">
        <v>330.79</v>
      </c>
      <c r="Y153" s="7">
        <v>128</v>
      </c>
      <c r="Z153" s="7">
        <v>0.46</v>
      </c>
      <c r="AA153" s="7">
        <v>20.037600000000001</v>
      </c>
      <c r="AB153" s="7">
        <v>1.1887765625000002</v>
      </c>
      <c r="AC153" s="7">
        <v>51.783107062500008</v>
      </c>
      <c r="AD153" s="7">
        <v>4.9999999999999933E-2</v>
      </c>
    </row>
    <row r="154" spans="1:32">
      <c r="A154" s="7" t="s">
        <v>234</v>
      </c>
      <c r="B154" s="7" t="s">
        <v>200</v>
      </c>
      <c r="C154" s="7" t="s">
        <v>191</v>
      </c>
      <c r="D154" s="7" t="s">
        <v>192</v>
      </c>
      <c r="E154" s="7" t="s">
        <v>330</v>
      </c>
      <c r="F154" s="7" t="s">
        <v>201</v>
      </c>
      <c r="G154" s="12" t="s">
        <v>194</v>
      </c>
      <c r="H154" s="13"/>
      <c r="I154" s="13"/>
      <c r="J154" s="16">
        <v>11008521</v>
      </c>
      <c r="K154" s="7" t="s">
        <v>363</v>
      </c>
      <c r="L154" s="7" t="s">
        <v>66</v>
      </c>
      <c r="M154" s="7">
        <v>348.2</v>
      </c>
      <c r="N154" s="11">
        <v>330.79</v>
      </c>
      <c r="O154" s="11">
        <v>17.409999999999968</v>
      </c>
      <c r="P154" s="10" t="s">
        <v>321</v>
      </c>
      <c r="Q154" s="15">
        <v>12</v>
      </c>
      <c r="R154" s="7">
        <v>318.79000000000002</v>
      </c>
      <c r="Y154" s="7">
        <v>128</v>
      </c>
      <c r="Z154" s="7">
        <v>0.46</v>
      </c>
      <c r="AA154" s="7">
        <v>20.037600000000001</v>
      </c>
      <c r="AB154" s="7">
        <v>1.1456515625000001</v>
      </c>
      <c r="AC154" s="7">
        <v>49.904582062500005</v>
      </c>
      <c r="AD154" s="7">
        <v>8.446295232624923E-2</v>
      </c>
    </row>
    <row r="155" spans="1:32">
      <c r="A155" s="7" t="s">
        <v>234</v>
      </c>
      <c r="B155" s="7" t="s">
        <v>200</v>
      </c>
      <c r="C155" s="7" t="s">
        <v>191</v>
      </c>
      <c r="D155" s="7" t="s">
        <v>192</v>
      </c>
      <c r="E155" s="7" t="s">
        <v>330</v>
      </c>
      <c r="F155" s="7" t="s">
        <v>201</v>
      </c>
      <c r="G155" s="12" t="s">
        <v>194</v>
      </c>
      <c r="H155" s="13"/>
      <c r="I155" s="13"/>
      <c r="J155" s="16">
        <v>11008521</v>
      </c>
      <c r="K155" s="7" t="s">
        <v>363</v>
      </c>
      <c r="L155" s="7" t="s">
        <v>66</v>
      </c>
      <c r="M155" s="7">
        <v>348.2</v>
      </c>
      <c r="N155" s="11">
        <v>330.79</v>
      </c>
      <c r="O155" s="11">
        <v>17.409999999999968</v>
      </c>
      <c r="P155" s="10" t="s">
        <v>305</v>
      </c>
      <c r="Q155" s="15">
        <v>25</v>
      </c>
      <c r="R155" s="7">
        <v>305.79000000000002</v>
      </c>
      <c r="Y155" s="7">
        <v>128</v>
      </c>
      <c r="Z155" s="7">
        <v>0.46</v>
      </c>
      <c r="AA155" s="7">
        <v>20.037600000000001</v>
      </c>
      <c r="AB155" s="7">
        <v>1.0989328125000002</v>
      </c>
      <c r="AC155" s="7">
        <v>47.869513312500004</v>
      </c>
      <c r="AD155" s="7">
        <v>0.12179781734635253</v>
      </c>
    </row>
    <row r="156" spans="1:32">
      <c r="A156" s="7" t="s">
        <v>234</v>
      </c>
      <c r="B156" s="7" t="s">
        <v>200</v>
      </c>
      <c r="C156" s="7" t="s">
        <v>196</v>
      </c>
      <c r="D156" s="7" t="s">
        <v>192</v>
      </c>
      <c r="E156" s="7" t="s">
        <v>330</v>
      </c>
      <c r="F156" s="7" t="s">
        <v>201</v>
      </c>
      <c r="G156" s="12" t="s">
        <v>194</v>
      </c>
      <c r="H156" s="13"/>
      <c r="I156" s="13"/>
      <c r="J156" s="16">
        <v>11008520</v>
      </c>
      <c r="K156" s="7" t="s">
        <v>364</v>
      </c>
      <c r="L156" s="7" t="s">
        <v>325</v>
      </c>
      <c r="M156" s="7">
        <v>348.2</v>
      </c>
      <c r="N156" s="11">
        <v>330.79</v>
      </c>
      <c r="O156" s="11">
        <v>17.409999999999968</v>
      </c>
      <c r="Q156" s="15"/>
      <c r="R156" s="7">
        <v>330.79</v>
      </c>
      <c r="Y156" s="7">
        <v>128</v>
      </c>
      <c r="Z156" s="7">
        <v>0.46</v>
      </c>
      <c r="AA156" s="7">
        <v>20.037600000000001</v>
      </c>
      <c r="AB156" s="7">
        <v>1.1887765625000002</v>
      </c>
      <c r="AC156" s="7">
        <v>51.783107062500008</v>
      </c>
      <c r="AD156" s="7">
        <v>4.9999999999999933E-2</v>
      </c>
    </row>
    <row r="157" spans="1:32">
      <c r="A157" s="7" t="s">
        <v>234</v>
      </c>
      <c r="B157" s="7" t="s">
        <v>200</v>
      </c>
      <c r="C157" s="7" t="s">
        <v>196</v>
      </c>
      <c r="D157" s="7" t="s">
        <v>192</v>
      </c>
      <c r="E157" s="7" t="s">
        <v>330</v>
      </c>
      <c r="F157" s="7" t="s">
        <v>201</v>
      </c>
      <c r="G157" s="12" t="s">
        <v>194</v>
      </c>
      <c r="H157" s="13"/>
      <c r="I157" s="13"/>
      <c r="J157" s="16">
        <v>11008520</v>
      </c>
      <c r="K157" s="7" t="s">
        <v>364</v>
      </c>
      <c r="L157" s="7" t="s">
        <v>325</v>
      </c>
      <c r="M157" s="7">
        <v>348.2</v>
      </c>
      <c r="N157" s="11">
        <v>330.79</v>
      </c>
      <c r="O157" s="11">
        <v>17.409999999999968</v>
      </c>
      <c r="P157" s="10" t="s">
        <v>321</v>
      </c>
      <c r="Q157" s="15">
        <v>12</v>
      </c>
      <c r="R157" s="7">
        <v>318.79000000000002</v>
      </c>
      <c r="Y157" s="7">
        <v>128</v>
      </c>
      <c r="Z157" s="7">
        <v>0.46</v>
      </c>
      <c r="AA157" s="7">
        <v>20.037600000000001</v>
      </c>
      <c r="AB157" s="7">
        <v>1.1456515625000001</v>
      </c>
      <c r="AC157" s="7">
        <v>49.904582062500005</v>
      </c>
      <c r="AD157" s="7">
        <v>8.446295232624923E-2</v>
      </c>
    </row>
    <row r="158" spans="1:32">
      <c r="A158" s="7" t="s">
        <v>234</v>
      </c>
      <c r="B158" s="7" t="s">
        <v>200</v>
      </c>
      <c r="C158" s="7" t="s">
        <v>196</v>
      </c>
      <c r="D158" s="7" t="s">
        <v>192</v>
      </c>
      <c r="E158" s="7" t="s">
        <v>330</v>
      </c>
      <c r="F158" s="7" t="s">
        <v>201</v>
      </c>
      <c r="G158" s="12" t="s">
        <v>194</v>
      </c>
      <c r="H158" s="13"/>
      <c r="I158" s="13"/>
      <c r="J158" s="16">
        <v>11008520</v>
      </c>
      <c r="K158" s="7" t="s">
        <v>364</v>
      </c>
      <c r="L158" s="7" t="s">
        <v>325</v>
      </c>
      <c r="M158" s="7">
        <v>348.2</v>
      </c>
      <c r="N158" s="11">
        <v>330.79</v>
      </c>
      <c r="O158" s="11">
        <v>17.409999999999968</v>
      </c>
      <c r="P158" s="10" t="s">
        <v>305</v>
      </c>
      <c r="Q158" s="15">
        <v>25</v>
      </c>
      <c r="R158" s="7">
        <v>305.79000000000002</v>
      </c>
      <c r="Y158" s="7">
        <v>128</v>
      </c>
      <c r="Z158" s="7">
        <v>0.46</v>
      </c>
      <c r="AA158" s="7">
        <v>20.037600000000001</v>
      </c>
      <c r="AB158" s="7">
        <v>1.0989328125000002</v>
      </c>
      <c r="AC158" s="7">
        <v>47.869513312500004</v>
      </c>
      <c r="AD158" s="7">
        <v>0.12179781734635253</v>
      </c>
    </row>
    <row r="159" spans="1:32">
      <c r="A159" s="7" t="s">
        <v>189</v>
      </c>
      <c r="B159" s="7" t="s">
        <v>190</v>
      </c>
      <c r="C159" s="7" t="s">
        <v>285</v>
      </c>
      <c r="E159" s="7" t="s">
        <v>365</v>
      </c>
      <c r="G159" s="12" t="s">
        <v>286</v>
      </c>
      <c r="H159" s="13"/>
      <c r="I159" s="13"/>
      <c r="J159" s="9" t="s">
        <v>158</v>
      </c>
      <c r="K159" s="7" t="s">
        <v>366</v>
      </c>
      <c r="L159" s="7" t="s">
        <v>307</v>
      </c>
      <c r="M159" s="7">
        <v>260.09999999999997</v>
      </c>
      <c r="N159" s="7">
        <v>260.09999999999997</v>
      </c>
      <c r="O159" s="7">
        <v>0</v>
      </c>
      <c r="P159" s="10" t="s">
        <v>218</v>
      </c>
      <c r="Q159" s="11">
        <v>12</v>
      </c>
      <c r="R159" s="22">
        <v>248.09999999999997</v>
      </c>
      <c r="S159" s="22"/>
      <c r="T159" s="22"/>
      <c r="U159" s="22"/>
      <c r="V159" s="22"/>
      <c r="W159" s="22"/>
      <c r="X159" s="22"/>
      <c r="Y159" s="22"/>
      <c r="AD159" s="7">
        <v>4.6136101499423265E-2</v>
      </c>
      <c r="AF159" s="7">
        <f>IF(PRICING[[#This Row],[SKU]]=J158,AF158+1,1)</f>
        <v>1</v>
      </c>
    </row>
  </sheetData>
  <sheetProtection algorithmName="SHA-512" hashValue="s2ZrUjkHfV2MGEQXz80O02HK5Nr7p2Q+m6qXBMRzm4qRVjicExAatZDl9teudr5iErmhxlsIbOG2c2mmxvsvzw==" saltValue="AogTDPU02qaiO40CxA4XFg==" spinCount="100000" sheet="1" objects="1" scenarios="1"/>
  <phoneticPr fontId="30" type="noConversion"/>
  <conditionalFormatting sqref="H41">
    <cfRule type="duplicateValues" dxfId="108" priority="75"/>
    <cfRule type="duplicateValues" dxfId="107" priority="76"/>
    <cfRule type="duplicateValues" dxfId="106" priority="77"/>
  </conditionalFormatting>
  <conditionalFormatting sqref="H55">
    <cfRule type="duplicateValues" dxfId="105" priority="72"/>
    <cfRule type="duplicateValues" dxfId="104" priority="73"/>
    <cfRule type="duplicateValues" dxfId="103" priority="74"/>
  </conditionalFormatting>
  <conditionalFormatting sqref="H56">
    <cfRule type="duplicateValues" dxfId="102" priority="69"/>
    <cfRule type="duplicateValues" dxfId="101" priority="70"/>
    <cfRule type="duplicateValues" dxfId="100" priority="71"/>
  </conditionalFormatting>
  <conditionalFormatting sqref="H58">
    <cfRule type="duplicateValues" dxfId="99" priority="66"/>
    <cfRule type="duplicateValues" dxfId="98" priority="67"/>
    <cfRule type="duplicateValues" dxfId="97" priority="68"/>
  </conditionalFormatting>
  <conditionalFormatting sqref="H59">
    <cfRule type="duplicateValues" dxfId="96" priority="63"/>
    <cfRule type="duplicateValues" dxfId="95" priority="64"/>
    <cfRule type="duplicateValues" dxfId="94" priority="65"/>
  </conditionalFormatting>
  <conditionalFormatting sqref="H60">
    <cfRule type="duplicateValues" dxfId="93" priority="60"/>
    <cfRule type="duplicateValues" dxfId="92" priority="61"/>
    <cfRule type="duplicateValues" dxfId="91" priority="62"/>
  </conditionalFormatting>
  <conditionalFormatting sqref="H66">
    <cfRule type="duplicateValues" dxfId="90" priority="57"/>
    <cfRule type="duplicateValues" dxfId="89" priority="58"/>
    <cfRule type="duplicateValues" dxfId="88" priority="59"/>
  </conditionalFormatting>
  <conditionalFormatting sqref="H67">
    <cfRule type="duplicateValues" dxfId="87" priority="54"/>
    <cfRule type="duplicateValues" dxfId="86" priority="55"/>
    <cfRule type="duplicateValues" dxfId="85" priority="56"/>
  </conditionalFormatting>
  <conditionalFormatting sqref="H69">
    <cfRule type="duplicateValues" dxfId="84" priority="42"/>
    <cfRule type="duplicateValues" dxfId="83" priority="43"/>
    <cfRule type="duplicateValues" dxfId="82" priority="44"/>
  </conditionalFormatting>
  <conditionalFormatting sqref="H79">
    <cfRule type="duplicateValues" dxfId="81" priority="51"/>
    <cfRule type="duplicateValues" dxfId="80" priority="52"/>
    <cfRule type="duplicateValues" dxfId="79" priority="53"/>
  </conditionalFormatting>
  <conditionalFormatting sqref="H80">
    <cfRule type="duplicateValues" dxfId="78" priority="48"/>
    <cfRule type="duplicateValues" dxfId="77" priority="49"/>
    <cfRule type="duplicateValues" dxfId="76" priority="50"/>
  </conditionalFormatting>
  <conditionalFormatting sqref="H81">
    <cfRule type="duplicateValues" dxfId="75" priority="45"/>
    <cfRule type="duplicateValues" dxfId="74" priority="46"/>
    <cfRule type="duplicateValues" dxfId="73" priority="47"/>
  </conditionalFormatting>
  <conditionalFormatting sqref="H86">
    <cfRule type="duplicateValues" dxfId="72" priority="39"/>
    <cfRule type="duplicateValues" dxfId="71" priority="40"/>
    <cfRule type="duplicateValues" dxfId="70" priority="41"/>
  </conditionalFormatting>
  <conditionalFormatting sqref="H87">
    <cfRule type="duplicateValues" dxfId="69" priority="36"/>
    <cfRule type="duplicateValues" dxfId="68" priority="37"/>
    <cfRule type="duplicateValues" dxfId="67" priority="38"/>
  </conditionalFormatting>
  <conditionalFormatting sqref="H94">
    <cfRule type="duplicateValues" dxfId="66" priority="33"/>
    <cfRule type="duplicateValues" dxfId="65" priority="34"/>
    <cfRule type="duplicateValues" dxfId="64" priority="35"/>
  </conditionalFormatting>
  <conditionalFormatting sqref="H95">
    <cfRule type="duplicateValues" dxfId="63" priority="30"/>
    <cfRule type="duplicateValues" dxfId="62" priority="31"/>
    <cfRule type="duplicateValues" dxfId="61" priority="32"/>
  </conditionalFormatting>
  <conditionalFormatting sqref="H96">
    <cfRule type="duplicateValues" dxfId="60" priority="24"/>
    <cfRule type="duplicateValues" dxfId="59" priority="25"/>
    <cfRule type="duplicateValues" dxfId="58" priority="26"/>
  </conditionalFormatting>
  <conditionalFormatting sqref="H97">
    <cfRule type="duplicateValues" dxfId="57" priority="12"/>
    <cfRule type="duplicateValues" dxfId="56" priority="13"/>
    <cfRule type="duplicateValues" dxfId="55" priority="14"/>
  </conditionalFormatting>
  <conditionalFormatting sqref="H98">
    <cfRule type="duplicateValues" dxfId="54" priority="9"/>
    <cfRule type="duplicateValues" dxfId="53" priority="10"/>
    <cfRule type="duplicateValues" dxfId="52" priority="11"/>
  </conditionalFormatting>
  <conditionalFormatting sqref="H100">
    <cfRule type="duplicateValues" dxfId="51" priority="6"/>
    <cfRule type="duplicateValues" dxfId="50" priority="7"/>
    <cfRule type="duplicateValues" dxfId="49" priority="8"/>
  </conditionalFormatting>
  <conditionalFormatting sqref="H101">
    <cfRule type="duplicateValues" dxfId="48" priority="3"/>
    <cfRule type="duplicateValues" dxfId="47" priority="4"/>
    <cfRule type="duplicateValues" dxfId="46" priority="5"/>
  </conditionalFormatting>
  <conditionalFormatting sqref="H115">
    <cfRule type="duplicateValues" dxfId="45" priority="1"/>
    <cfRule type="duplicateValues" dxfId="44" priority="2"/>
  </conditionalFormatting>
  <conditionalFormatting sqref="H6:I6">
    <cfRule type="duplicateValues" dxfId="43" priority="114"/>
    <cfRule type="duplicateValues" dxfId="42" priority="115"/>
    <cfRule type="duplicateValues" dxfId="41" priority="116"/>
  </conditionalFormatting>
  <conditionalFormatting sqref="H7:I7">
    <cfRule type="duplicateValues" dxfId="40" priority="111"/>
    <cfRule type="duplicateValues" dxfId="39" priority="112"/>
    <cfRule type="duplicateValues" dxfId="38" priority="113"/>
  </conditionalFormatting>
  <conditionalFormatting sqref="H8:I8">
    <cfRule type="duplicateValues" dxfId="37" priority="108"/>
    <cfRule type="duplicateValues" dxfId="36" priority="109"/>
    <cfRule type="duplicateValues" dxfId="35" priority="110"/>
  </conditionalFormatting>
  <conditionalFormatting sqref="H10:I10">
    <cfRule type="duplicateValues" dxfId="34" priority="99"/>
    <cfRule type="duplicateValues" dxfId="33" priority="100"/>
    <cfRule type="duplicateValues" dxfId="32" priority="101"/>
  </conditionalFormatting>
  <conditionalFormatting sqref="H11:I11">
    <cfRule type="duplicateValues" dxfId="31" priority="105"/>
    <cfRule type="duplicateValues" dxfId="30" priority="106"/>
    <cfRule type="duplicateValues" dxfId="29" priority="107"/>
  </conditionalFormatting>
  <conditionalFormatting sqref="H12:I12">
    <cfRule type="duplicateValues" dxfId="28" priority="102"/>
    <cfRule type="duplicateValues" dxfId="27" priority="103"/>
    <cfRule type="duplicateValues" dxfId="26" priority="104"/>
  </conditionalFormatting>
  <conditionalFormatting sqref="H22:I22">
    <cfRule type="duplicateValues" dxfId="25" priority="96"/>
    <cfRule type="duplicateValues" dxfId="24" priority="97"/>
    <cfRule type="duplicateValues" dxfId="23" priority="98"/>
  </conditionalFormatting>
  <conditionalFormatting sqref="H23:I23">
    <cfRule type="duplicateValues" dxfId="22" priority="93"/>
    <cfRule type="duplicateValues" dxfId="21" priority="94"/>
    <cfRule type="duplicateValues" dxfId="20" priority="95"/>
  </conditionalFormatting>
  <conditionalFormatting sqref="H24:I24">
    <cfRule type="duplicateValues" dxfId="19" priority="87"/>
    <cfRule type="duplicateValues" dxfId="18" priority="88"/>
    <cfRule type="duplicateValues" dxfId="17" priority="89"/>
  </conditionalFormatting>
  <conditionalFormatting sqref="H25:I25">
    <cfRule type="duplicateValues" dxfId="16" priority="84"/>
    <cfRule type="duplicateValues" dxfId="15" priority="85"/>
    <cfRule type="duplicateValues" dxfId="14" priority="86"/>
  </conditionalFormatting>
  <conditionalFormatting sqref="H26:I26">
    <cfRule type="duplicateValues" dxfId="13" priority="81"/>
    <cfRule type="duplicateValues" dxfId="12" priority="82"/>
    <cfRule type="duplicateValues" dxfId="11" priority="83"/>
  </conditionalFormatting>
  <conditionalFormatting sqref="H27:I27">
    <cfRule type="duplicateValues" dxfId="10" priority="78"/>
    <cfRule type="duplicateValues" dxfId="9" priority="79"/>
    <cfRule type="duplicateValues" dxfId="8" priority="80"/>
  </conditionalFormatting>
  <pageMargins left="0.7" right="0.7" top="0.75" bottom="0.75" header="0.3" footer="0.3"/>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4df1d42-0b6e-4c9a-bde1-371b1f6221f7">
      <UserInfo>
        <DisplayName/>
        <AccountId xsi:nil="true"/>
        <AccountType/>
      </UserInfo>
    </SharedWithUsers>
    <lcf76f155ced4ddcb4097134ff3c332f xmlns="12380346-af75-4b42-99cb-3c92ab0c847d">
      <Terms xmlns="http://schemas.microsoft.com/office/infopath/2007/PartnerControls"/>
    </lcf76f155ced4ddcb4097134ff3c332f>
    <TaxCatchAll xmlns="c4df1d42-0b6e-4c9a-bde1-371b1f6221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46DD53A9704547929D8108F65BA31E" ma:contentTypeVersion="24" ma:contentTypeDescription="Create a new document." ma:contentTypeScope="" ma:versionID="614785be91fb574ec5cfda9a443852c1">
  <xsd:schema xmlns:xsd="http://www.w3.org/2001/XMLSchema" xmlns:xs="http://www.w3.org/2001/XMLSchema" xmlns:p="http://schemas.microsoft.com/office/2006/metadata/properties" xmlns:ns2="12380346-af75-4b42-99cb-3c92ab0c847d" xmlns:ns3="c4df1d42-0b6e-4c9a-bde1-371b1f6221f7" targetNamespace="http://schemas.microsoft.com/office/2006/metadata/properties" ma:root="true" ma:fieldsID="714666119a5d2fcc89e5d08f0b20dbaf" ns2:_="" ns3:_="">
    <xsd:import namespace="12380346-af75-4b42-99cb-3c92ab0c847d"/>
    <xsd:import namespace="c4df1d42-0b6e-4c9a-bde1-371b1f622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80346-af75-4b42-99cb-3c92ab0c847d"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2a2e794-9366-4967-bc2f-bbaf13cd7d6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df1d42-0b6e-4c9a-bde1-371b1f6221f7" elementFormDefault="qualified">
    <xsd:import namespace="http://schemas.microsoft.com/office/2006/documentManagement/types"/>
    <xsd:import namespace="http://schemas.microsoft.com/office/infopath/2007/PartnerControls"/>
    <xsd:element name="SharedWithUsers" ma:index="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ec5d722-6427-4129-9b77-ff15ac65cb56}" ma:internalName="TaxCatchAll" ma:showField="CatchAllData" ma:web="c4df1d42-0b6e-4c9a-bde1-371b1f622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a J n Z W k t A w O O k A A A A 9 g A A A B I A H A B D b 2 5 m a W c v U G F j a 2 F n Z S 5 4 b W w g o h g A K K A U A A A A A A A A A A A A A A A A A A A A A A A A A A A A h Y 9 B D o I w F E S v Q r q n L Y i J I Z + y c C u J C d G 4 J a V C I 3 w M L Z a 7 u f B I X k G M o u 5 c z p u 3 m L l f b 5 C O b e N d V G 9 0 h w k J K C e e Q t m V G q u E D P b o r 0 g q Y F v I U 1 E p b 5 L R x K M p E 1 J b e 4 4 Z c 8 5 R t 6 B d X 7 G Q 8 4 A d s k 0 u a 9 U W 5 C P r / 7 K v 0 d g C p S I C 9 q 8 x I q R B x G n E l 5 Q D m y F k G r 9 C O O 1 9 t j 8 Q 1 k N j h 1 4 J h f 4 u B z Z H Y O 8 P 4 g F Q S w M E F A A C A A g A a J n Z 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i Z 2 V o o i k e 4 D g A A A B E A A A A T A B w A R m 9 y b X V s Y X M v U 2 V j d G l v b j E u b S C i G A A o o B Q A A A A A A A A A A A A A A A A A A A A A A A A A A A A r T k 0 u y c z P U w i G 0 I b W A F B L A Q I t A B Q A A g A I A G i Z 2 V p L Q M D j p A A A A P Y A A A A S A A A A A A A A A A A A A A A A A A A A A A B D b 2 5 m a W c v U G F j a 2 F n Z S 5 4 b W x Q S w E C L Q A U A A I A C A B o m d l a D 8 r p q 6 Q A A A D p A A A A E w A A A A A A A A A A A A A A A A D w A A A A W 0 N v b n R l b n R f V H l w Z X N d L n h t b F B L A Q I t A B Q A A g A I A G i Z 2 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V N h o j l p x d Q o G 6 7 Y R N f w G y A A A A A A I A A A A A A A N m A A D A A A A A E A A A A O L g D k S 4 7 1 X J F j 3 m q o k P a S 8 A A A A A B I A A A K A A A A A Q A A A A Z r 2 c o W K 8 q O F 1 L D a J V z F d J l A A A A D 7 x 7 y 4 i F s U N X U V + s r 6 C 2 p v m s d 9 N A h f Z J M B 6 z q D d o L w R t K z A 3 G u i 0 Q + e Z + b W t L 6 X n X 3 b n H m t S p m k F O d g n D p 6 T n L 5 3 P 5 i K n B T W v i q o Q c w i x O H B Q A A A B 5 + 2 8 Y I Q Z I G + P n J e S j a s Z d o 3 C 5 U A = = < / D a t a M a s h u p > 
</file>

<file path=customXml/itemProps1.xml><?xml version="1.0" encoding="utf-8"?>
<ds:datastoreItem xmlns:ds="http://schemas.openxmlformats.org/officeDocument/2006/customXml" ds:itemID="{739CE399-7F2C-4AB7-B85C-DC0375166756}"/>
</file>

<file path=customXml/itemProps2.xml><?xml version="1.0" encoding="utf-8"?>
<ds:datastoreItem xmlns:ds="http://schemas.openxmlformats.org/officeDocument/2006/customXml" ds:itemID="{C1D0050A-FED6-4543-856B-2489F0527F4E}"/>
</file>

<file path=customXml/itemProps3.xml><?xml version="1.0" encoding="utf-8"?>
<ds:datastoreItem xmlns:ds="http://schemas.openxmlformats.org/officeDocument/2006/customXml" ds:itemID="{39D43005-FA8D-4DB0-82D9-AFED6A5956CD}"/>
</file>

<file path=customXml/itemProps4.xml><?xml version="1.0" encoding="utf-8"?>
<ds:datastoreItem xmlns:ds="http://schemas.openxmlformats.org/officeDocument/2006/customXml" ds:itemID="{51D2896F-1AA8-491A-9499-41A7BB38BBA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McNamara</dc:creator>
  <cp:keywords/>
  <dc:description/>
  <cp:lastModifiedBy/>
  <cp:revision/>
  <dcterms:created xsi:type="dcterms:W3CDTF">2021-09-07T21:38:27Z</dcterms:created>
  <dcterms:modified xsi:type="dcterms:W3CDTF">2025-08-05T21:05:36Z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0x0101003746DD53A9704547929D8108F65BA31E</vt:lpwstr>
  </property>
  <property fmtid="{D5CDD505-2E9C-101B-9397-08002B2CF9AE}" pid="3" name="c2b5fb8256bd435bb7806ac3891e195b">
    <vt:lpwstr>Short-Term|6d967203-8346-4b9c-90f8-b3828a3fa508</vt:lpwstr>
  </property>
  <property fmtid="{D5CDD505-2E9C-101B-9397-08002B2CF9AE}" pid="4" name="DataClassBayerRetention">
    <vt:lpwstr>1;#Short-Term|6d967203-8346-4b9c-90f8-b3828a3fa508</vt:lpwstr>
  </property>
  <property fmtid="{D5CDD505-2E9C-101B-9397-08002B2CF9AE}" pid="5" name="Order">
    <vt:r8>127100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SIP_Label_7f850223-87a8-40c3-9eb2-432606efca2a_Enabled">
    <vt:lpwstr>true</vt:lpwstr>
  </property>
  <property fmtid="{D5CDD505-2E9C-101B-9397-08002B2CF9AE}" pid="13" name="MSIP_Label_7f850223-87a8-40c3-9eb2-432606efca2a_SetDate">
    <vt:lpwstr>2022-07-22T15:56:38Z</vt:lpwstr>
  </property>
  <property fmtid="{D5CDD505-2E9C-101B-9397-08002B2CF9AE}" pid="14" name="MSIP_Label_7f850223-87a8-40c3-9eb2-432606efca2a_Method">
    <vt:lpwstr>Privileged</vt:lpwstr>
  </property>
  <property fmtid="{D5CDD505-2E9C-101B-9397-08002B2CF9AE}" pid="15" name="MSIP_Label_7f850223-87a8-40c3-9eb2-432606efca2a_Name">
    <vt:lpwstr>7f850223-87a8-40c3-9eb2-432606efca2a</vt:lpwstr>
  </property>
  <property fmtid="{D5CDD505-2E9C-101B-9397-08002B2CF9AE}" pid="16" name="MSIP_Label_7f850223-87a8-40c3-9eb2-432606efca2a_SiteId">
    <vt:lpwstr>fcb2b37b-5da0-466b-9b83-0014b67a7c78</vt:lpwstr>
  </property>
  <property fmtid="{D5CDD505-2E9C-101B-9397-08002B2CF9AE}" pid="17" name="MSIP_Label_7f850223-87a8-40c3-9eb2-432606efca2a_ActionId">
    <vt:lpwstr>51fffae4-65b7-4d0e-b5e6-c46adae54804</vt:lpwstr>
  </property>
  <property fmtid="{D5CDD505-2E9C-101B-9397-08002B2CF9AE}" pid="18" name="MSIP_Label_7f850223-87a8-40c3-9eb2-432606efca2a_ContentBits">
    <vt:lpwstr>0</vt:lpwstr>
  </property>
  <property fmtid="{D5CDD505-2E9C-101B-9397-08002B2CF9AE}" pid="19" name="IbpWorkbookKeyString_GUID">
    <vt:lpwstr>7e9b61c9-a92b-42dc-a2ff-2e076b477a9c</vt:lpwstr>
  </property>
  <property fmtid="{D5CDD505-2E9C-101B-9397-08002B2CF9AE}" pid="20" name="MSIP_Label_52704955-3550-4c1c-9097-1672b88a0b7a_Enabled">
    <vt:lpwstr>true</vt:lpwstr>
  </property>
  <property fmtid="{D5CDD505-2E9C-101B-9397-08002B2CF9AE}" pid="21" name="MSIP_Label_52704955-3550-4c1c-9097-1672b88a0b7a_SetDate">
    <vt:lpwstr>2023-06-12T18:32:57Z</vt:lpwstr>
  </property>
  <property fmtid="{D5CDD505-2E9C-101B-9397-08002B2CF9AE}" pid="22" name="MSIP_Label_52704955-3550-4c1c-9097-1672b88a0b7a_Method">
    <vt:lpwstr>Standard</vt:lpwstr>
  </property>
  <property fmtid="{D5CDD505-2E9C-101B-9397-08002B2CF9AE}" pid="23" name="MSIP_Label_52704955-3550-4c1c-9097-1672b88a0b7a_Name">
    <vt:lpwstr>RESTRICTED</vt:lpwstr>
  </property>
  <property fmtid="{D5CDD505-2E9C-101B-9397-08002B2CF9AE}" pid="24" name="MSIP_Label_52704955-3550-4c1c-9097-1672b88a0b7a_SiteId">
    <vt:lpwstr>c4dedb74-d916-4ef4-b6b5-af80c59e9742</vt:lpwstr>
  </property>
  <property fmtid="{D5CDD505-2E9C-101B-9397-08002B2CF9AE}" pid="25" name="MSIP_Label_52704955-3550-4c1c-9097-1672b88a0b7a_ActionId">
    <vt:lpwstr>1f624100-52f8-4476-8624-c947816b3eef</vt:lpwstr>
  </property>
  <property fmtid="{D5CDD505-2E9C-101B-9397-08002B2CF9AE}" pid="26" name="MSIP_Label_52704955-3550-4c1c-9097-1672b88a0b7a_ContentBits">
    <vt:lpwstr>0</vt:lpwstr>
  </property>
  <property fmtid="{D5CDD505-2E9C-101B-9397-08002B2CF9AE}" pid="27" name="MediaServiceImageTags">
    <vt:lpwstr/>
  </property>
</Properties>
</file>