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codeName="{DD97A8EA-9A9A-E61F-A557-7D5A7D7259CE}"/>
  <workbookPr codeName="ThisWorkbook" hidePivotFieldList="1" defaultThemeVersion="166925"/>
  <mc:AlternateContent xmlns:mc="http://schemas.openxmlformats.org/markup-compatibility/2006">
    <mc:Choice Requires="x15">
      <x15ac:absPath xmlns:x15ac="http://schemas.microsoft.com/office/spreadsheetml/2010/11/ac" url="C:\Users\ashlbarr\Desktop\"/>
    </mc:Choice>
  </mc:AlternateContent>
  <xr:revisionPtr revIDLastSave="0" documentId="8_{5B29C4A7-F68A-4A92-ABC8-DA10F9195689}" xr6:coauthVersionLast="47" xr6:coauthVersionMax="47" xr10:uidLastSave="{00000000-0000-0000-0000-000000000000}"/>
  <bookViews>
    <workbookView xWindow="-110" yWindow="-110" windowWidth="19420" windowHeight="11020" xr2:uid="{47E820C8-F8DF-412E-8B73-FB77A2B9CF60}"/>
  </bookViews>
  <sheets>
    <sheet name="2025 ORNAMENTALS - UNITS" sheetId="5" r:id="rId1"/>
    <sheet name="SUMMARY - UNITS (2025)" sheetId="9" r:id="rId2"/>
    <sheet name="REBATE MATRIX (NOW)" sheetId="7" state="veryHidden" r:id="rId3"/>
    <sheet name="2025 NOW_EOP_LL" sheetId="6" state="veryHidden" r:id="rId4"/>
  </sheets>
  <definedNames>
    <definedName name="_xlnm._FilterDatabase" localSheetId="3" hidden="1">'2025 NOW_EOP_LL'!$A$1:$AD$24</definedName>
    <definedName name="_xlnm._FilterDatabase" localSheetId="0" hidden="1">'2025 ORNAMENTALS - UNITS'!$F$14:$Q$16</definedName>
    <definedName name="_xlnm._FilterDatabase" localSheetId="2" hidden="1">'REBATE MATRIX (NOW)'!$B$2:$F$46</definedName>
    <definedName name="_xleta.NOW" hidden="1" xlm="1">#NAME?</definedName>
    <definedName name="California_Header">#REF!</definedName>
    <definedName name="California_ProductForm">#REF!</definedName>
    <definedName name="California_Summary">#REF!</definedName>
    <definedName name="National_Header" localSheetId="0">'2025 ORNAMENTALS - UNITS'!$F$4:$G$7</definedName>
    <definedName name="National_Header">#REF!</definedName>
    <definedName name="National_ProductForm" localSheetId="0">'2025 ORNAMENTALS - UNITS'!$F$13:$R$45</definedName>
    <definedName name="National_ProductForm">#REF!</definedName>
    <definedName name="National_Summary" localSheetId="0">'2025 ORNAMENTALS - UNITS'!$F$46:$I$58</definedName>
    <definedName name="National_Summary">#REF!</definedName>
    <definedName name="NYNassauSuffolk_Header">#REF!</definedName>
    <definedName name="NYNassauSuffolk_ProductForm">#REF!</definedName>
    <definedName name="NYNassauSuffolk_Summary">#REF!</definedName>
    <definedName name="Washington_Header">#REF!</definedName>
    <definedName name="Washington_ProductForm">#REF!</definedName>
    <definedName name="Washington_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4" i="5" l="1"/>
  <c r="V43" i="5"/>
  <c r="V42" i="5"/>
  <c r="V41" i="5"/>
  <c r="V40" i="5"/>
  <c r="O34" i="5"/>
  <c r="O33" i="5"/>
  <c r="O32" i="5"/>
  <c r="O31" i="5"/>
  <c r="O30" i="5"/>
  <c r="O29" i="5"/>
  <c r="O28" i="5"/>
  <c r="O27" i="5"/>
  <c r="O26" i="5"/>
  <c r="O25" i="5"/>
  <c r="O24" i="5"/>
  <c r="O23" i="5"/>
  <c r="O22" i="5"/>
  <c r="O21" i="5"/>
  <c r="O20" i="5"/>
  <c r="O19" i="5"/>
  <c r="O18" i="5"/>
  <c r="O17" i="5"/>
  <c r="I35" i="9"/>
  <c r="J35" i="9"/>
  <c r="M43" i="5"/>
  <c r="L44" i="5"/>
  <c r="M44" i="5" s="1"/>
  <c r="L43" i="5"/>
  <c r="L42" i="5"/>
  <c r="M42" i="5" s="1"/>
  <c r="L41" i="5"/>
  <c r="M41" i="5" s="1"/>
  <c r="L40" i="5"/>
  <c r="M40" i="5" s="1"/>
  <c r="K44" i="5"/>
  <c r="K43" i="5"/>
  <c r="K42" i="5"/>
  <c r="K41" i="5"/>
  <c r="K40" i="5"/>
  <c r="I55" i="5" l="1"/>
  <c r="E32" i="9"/>
  <c r="E33" i="9"/>
  <c r="I33" i="9" s="1"/>
  <c r="J33" i="9" s="1"/>
  <c r="E36" i="9"/>
  <c r="E35" i="9"/>
  <c r="E34" i="9"/>
  <c r="I36" i="9" l="1"/>
  <c r="J36" i="9" s="1"/>
  <c r="I32" i="9"/>
  <c r="J32" i="9" s="1"/>
  <c r="I34" i="9"/>
  <c r="J34" i="9" s="1"/>
  <c r="G36" i="9"/>
  <c r="F35" i="9"/>
  <c r="H35" i="9" s="1"/>
  <c r="G34" i="9"/>
  <c r="F33" i="9"/>
  <c r="H33" i="9" s="1"/>
  <c r="G33" i="9"/>
  <c r="F36" i="9"/>
  <c r="H36" i="9" s="1"/>
  <c r="G35" i="9"/>
  <c r="F34" i="9"/>
  <c r="H34" i="9" s="1"/>
  <c r="G32" i="9"/>
  <c r="C49" i="9"/>
  <c r="C48" i="9"/>
  <c r="C47" i="9"/>
  <c r="C46" i="9"/>
  <c r="C45" i="9"/>
  <c r="C44" i="9"/>
  <c r="C43" i="9"/>
  <c r="C42" i="9"/>
  <c r="C41" i="9"/>
  <c r="C8" i="9"/>
  <c r="C7" i="9"/>
  <c r="C6" i="9"/>
  <c r="C5" i="9"/>
  <c r="C4" i="9"/>
  <c r="C3" i="9"/>
  <c r="E30" i="9"/>
  <c r="E29" i="9"/>
  <c r="E28" i="9"/>
  <c r="E27" i="9"/>
  <c r="E26" i="9"/>
  <c r="E25" i="9"/>
  <c r="E24" i="9"/>
  <c r="E23" i="9"/>
  <c r="E22" i="9"/>
  <c r="E21" i="9"/>
  <c r="E20" i="9"/>
  <c r="E19" i="9"/>
  <c r="E18" i="9"/>
  <c r="E17" i="9"/>
  <c r="E16" i="9"/>
  <c r="E15" i="9"/>
  <c r="E14" i="9"/>
  <c r="E13" i="9"/>
  <c r="D30" i="9"/>
  <c r="D29" i="9"/>
  <c r="D28" i="9"/>
  <c r="D27" i="9"/>
  <c r="D26" i="9"/>
  <c r="D25" i="9"/>
  <c r="D24" i="9"/>
  <c r="D23" i="9"/>
  <c r="D22" i="9"/>
  <c r="D21" i="9"/>
  <c r="D20" i="9"/>
  <c r="D19" i="9"/>
  <c r="D18" i="9"/>
  <c r="D17" i="9"/>
  <c r="D16" i="9"/>
  <c r="D15" i="9"/>
  <c r="D14" i="9"/>
  <c r="D13" i="9"/>
  <c r="B44" i="5" l="1"/>
  <c r="B43" i="5"/>
  <c r="B42" i="5"/>
  <c r="B41" i="5"/>
  <c r="B40" i="5"/>
  <c r="D32" i="5" l="1"/>
  <c r="D29" i="5"/>
  <c r="D26" i="5"/>
  <c r="D23" i="5"/>
  <c r="D20" i="5"/>
  <c r="D17" i="5"/>
  <c r="B34" i="5"/>
  <c r="B33" i="5"/>
  <c r="B32" i="5"/>
  <c r="B31" i="5"/>
  <c r="B30" i="5"/>
  <c r="B29" i="5"/>
  <c r="B28" i="5"/>
  <c r="B27" i="5"/>
  <c r="B26" i="5"/>
  <c r="B25" i="5"/>
  <c r="B24" i="5"/>
  <c r="B23" i="5"/>
  <c r="B22" i="5"/>
  <c r="B21" i="5"/>
  <c r="B20" i="5"/>
  <c r="B19" i="5"/>
  <c r="B18" i="5"/>
  <c r="B17" i="5"/>
  <c r="AF24" i="6"/>
  <c r="AF23" i="6"/>
  <c r="AF20" i="6"/>
  <c r="AF21" i="6" s="1"/>
  <c r="AF22" i="6" s="1"/>
  <c r="AF17" i="6"/>
  <c r="AF18" i="6" s="1"/>
  <c r="AF19" i="6" s="1"/>
  <c r="AF14" i="6"/>
  <c r="AF15" i="6" s="1"/>
  <c r="AF16" i="6" s="1"/>
  <c r="AF11" i="6"/>
  <c r="AF12" i="6" s="1"/>
  <c r="AF13" i="6" s="1"/>
  <c r="AF10" i="6"/>
  <c r="AF7" i="6"/>
  <c r="AF8" i="6" s="1"/>
  <c r="AF9" i="6" s="1"/>
  <c r="AF6" i="6"/>
  <c r="AF5" i="6"/>
  <c r="AG2" i="6"/>
  <c r="D35" i="5" l="1"/>
  <c r="M7" i="5" s="1"/>
  <c r="J17" i="5"/>
  <c r="F13" i="9" s="1"/>
  <c r="L17" i="5"/>
  <c r="G13" i="9" s="1"/>
  <c r="M5" i="5" l="1"/>
  <c r="M6" i="5"/>
  <c r="N16" i="5" l="1"/>
  <c r="H54" i="5" s="1"/>
  <c r="O3" i="7" l="1"/>
  <c r="O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R12" i="7"/>
  <c r="R11" i="7"/>
  <c r="R10" i="7"/>
  <c r="R9" i="7"/>
  <c r="R8" i="7"/>
  <c r="R7" i="7"/>
  <c r="R6" i="7"/>
  <c r="R5" i="7"/>
  <c r="R4" i="7"/>
  <c r="R3" i="7"/>
  <c r="C2" i="9" l="1"/>
  <c r="M10" i="7" l="1"/>
  <c r="P10" i="7" s="1"/>
  <c r="M3" i="7"/>
  <c r="M4" i="7"/>
  <c r="P4" i="7" s="1"/>
  <c r="M5" i="7"/>
  <c r="P5" i="7" s="1"/>
  <c r="M6" i="7"/>
  <c r="P6" i="7" s="1"/>
  <c r="M7" i="7"/>
  <c r="P7" i="7" s="1"/>
  <c r="M8" i="7"/>
  <c r="P8" i="7" s="1"/>
  <c r="M9" i="7"/>
  <c r="P9" i="7" s="1"/>
  <c r="M11" i="7"/>
  <c r="P11" i="7" s="1"/>
  <c r="M12" i="7"/>
  <c r="P12" i="7" s="1"/>
  <c r="M13" i="7"/>
  <c r="P13" i="7" s="1"/>
  <c r="M14" i="7"/>
  <c r="P14" i="7" s="1"/>
  <c r="M15" i="7"/>
  <c r="P15" i="7" s="1"/>
  <c r="M16" i="7"/>
  <c r="P16" i="7" s="1"/>
  <c r="M17" i="7"/>
  <c r="P17" i="7" s="1"/>
  <c r="M18" i="7"/>
  <c r="P18" i="7" s="1"/>
  <c r="M19" i="7"/>
  <c r="P19" i="7" s="1"/>
  <c r="M20" i="7"/>
  <c r="P20" i="7" s="1"/>
  <c r="M21" i="7"/>
  <c r="P21" i="7" s="1"/>
  <c r="M22" i="7"/>
  <c r="P22" i="7" s="1"/>
  <c r="M23" i="7"/>
  <c r="P23" i="7" s="1"/>
  <c r="M24" i="7"/>
  <c r="P24" i="7" s="1"/>
  <c r="M25" i="7"/>
  <c r="P25" i="7" s="1"/>
  <c r="M26" i="7"/>
  <c r="P26" i="7" s="1"/>
  <c r="M27" i="7"/>
  <c r="P27" i="7" s="1"/>
  <c r="M28" i="7"/>
  <c r="P28" i="7" s="1"/>
  <c r="M29" i="7"/>
  <c r="P29" i="7" s="1"/>
  <c r="M30" i="7"/>
  <c r="P30" i="7" s="1"/>
  <c r="M31" i="7"/>
  <c r="P31" i="7" s="1"/>
  <c r="M32" i="7"/>
  <c r="P32" i="7" s="1"/>
  <c r="M33" i="7"/>
  <c r="P33" i="7" s="1"/>
  <c r="M34" i="7"/>
  <c r="P34" i="7" s="1"/>
  <c r="M35" i="7"/>
  <c r="P35" i="7" s="1"/>
  <c r="M36" i="7"/>
  <c r="P36" i="7" s="1"/>
  <c r="M37" i="7"/>
  <c r="P37" i="7" s="1"/>
  <c r="M38" i="7"/>
  <c r="P38" i="7" s="1"/>
  <c r="M39" i="7"/>
  <c r="P39" i="7" s="1"/>
  <c r="M40" i="7"/>
  <c r="P40" i="7" s="1"/>
  <c r="M41" i="7"/>
  <c r="P41" i="7" s="1"/>
  <c r="M42" i="7"/>
  <c r="P42" i="7" s="1"/>
  <c r="M43" i="7"/>
  <c r="P43" i="7" s="1"/>
  <c r="M44" i="7"/>
  <c r="P44" i="7" s="1"/>
  <c r="M45" i="7"/>
  <c r="P45" i="7" s="1"/>
  <c r="M46" i="7"/>
  <c r="P46" i="7" s="1"/>
  <c r="AF3" i="6"/>
  <c r="AG3" i="6" l="1"/>
  <c r="AF4" i="6"/>
  <c r="M17" i="5"/>
  <c r="N17" i="5" s="1"/>
  <c r="K17" i="5"/>
  <c r="P3" i="7"/>
  <c r="P1" i="7" s="1"/>
  <c r="N10" i="7"/>
  <c r="N8" i="7"/>
  <c r="N5" i="7"/>
  <c r="N26" i="7"/>
  <c r="N18" i="7"/>
  <c r="N43" i="7"/>
  <c r="N24" i="7"/>
  <c r="N39" i="7"/>
  <c r="N42" i="7"/>
  <c r="N41" i="7"/>
  <c r="N6" i="7"/>
  <c r="N27" i="7"/>
  <c r="N23" i="7"/>
  <c r="N7" i="7"/>
  <c r="N28" i="7"/>
  <c r="N20" i="7"/>
  <c r="N13" i="7"/>
  <c r="N45" i="7"/>
  <c r="N46" i="7"/>
  <c r="N34" i="7"/>
  <c r="N19" i="7"/>
  <c r="N12" i="7"/>
  <c r="N44" i="7"/>
  <c r="N32" i="7"/>
  <c r="N17" i="7"/>
  <c r="N33" i="7"/>
  <c r="N11" i="7"/>
  <c r="N16" i="7"/>
  <c r="N3" i="7"/>
  <c r="N25" i="7"/>
  <c r="N9" i="7"/>
  <c r="N31" i="7"/>
  <c r="N15" i="7"/>
  <c r="N37" i="7"/>
  <c r="N36" i="7"/>
  <c r="N40" i="7"/>
  <c r="N30" i="7"/>
  <c r="N22" i="7"/>
  <c r="N35" i="7"/>
  <c r="N29" i="7"/>
  <c r="N14" i="7"/>
  <c r="N38" i="7"/>
  <c r="N21" i="7"/>
  <c r="N4" i="7"/>
  <c r="H13" i="9" l="1"/>
  <c r="L18" i="5"/>
  <c r="G14" i="9" s="1"/>
  <c r="J18" i="5"/>
  <c r="F14" i="9" s="1"/>
  <c r="AG4" i="6"/>
  <c r="L19" i="5" l="1"/>
  <c r="G15" i="9" s="1"/>
  <c r="M18" i="5"/>
  <c r="N18" i="5" s="1"/>
  <c r="J19" i="5"/>
  <c r="F15" i="9" s="1"/>
  <c r="K18" i="5"/>
  <c r="AG5" i="6"/>
  <c r="H14" i="9" l="1"/>
  <c r="M19" i="5"/>
  <c r="N19" i="5" s="1"/>
  <c r="K19" i="5"/>
  <c r="AG6" i="6"/>
  <c r="H15" i="9" l="1"/>
  <c r="AG7" i="6"/>
  <c r="AG8" i="6" l="1"/>
  <c r="AG9" i="6" l="1"/>
  <c r="AG10" i="6" l="1"/>
  <c r="AG11" i="6" l="1"/>
  <c r="AG12" i="6" l="1"/>
  <c r="AG13" i="6" l="1"/>
  <c r="AG14" i="6" l="1"/>
  <c r="AG15" i="6" l="1"/>
  <c r="AG16" i="6" l="1"/>
  <c r="AG17" i="6" l="1"/>
  <c r="AG18" i="6" l="1"/>
  <c r="AG19" i="6" l="1"/>
  <c r="AG20" i="6" l="1"/>
  <c r="AG21" i="6" l="1"/>
  <c r="AG22" i="6" l="1"/>
  <c r="AG24" i="6" l="1"/>
  <c r="AG23" i="6"/>
  <c r="J29" i="5" l="1"/>
  <c r="F25" i="9" s="1"/>
  <c r="L20" i="5"/>
  <c r="G16" i="9" s="1"/>
  <c r="L21" i="5"/>
  <c r="J22" i="5"/>
  <c r="F18" i="9" s="1"/>
  <c r="L22" i="5"/>
  <c r="G18" i="9" s="1"/>
  <c r="L29" i="5"/>
  <c r="G25" i="9" s="1"/>
  <c r="J25" i="5"/>
  <c r="F21" i="9" s="1"/>
  <c r="L23" i="5"/>
  <c r="G19" i="9" s="1"/>
  <c r="J28" i="5"/>
  <c r="F24" i="9" s="1"/>
  <c r="L30" i="5"/>
  <c r="G26" i="9" s="1"/>
  <c r="L34" i="5"/>
  <c r="G30" i="9" s="1"/>
  <c r="J32" i="5"/>
  <c r="F28" i="9" s="1"/>
  <c r="L33" i="5"/>
  <c r="G29" i="9" s="1"/>
  <c r="J20" i="5"/>
  <c r="F16" i="9" s="1"/>
  <c r="L32" i="5"/>
  <c r="G28" i="9" s="1"/>
  <c r="J30" i="5"/>
  <c r="F26" i="9" s="1"/>
  <c r="L28" i="5"/>
  <c r="G24" i="9" s="1"/>
  <c r="J21" i="5"/>
  <c r="F17" i="9" s="1"/>
  <c r="L26" i="5"/>
  <c r="G22" i="9" s="1"/>
  <c r="J31" i="5"/>
  <c r="F27" i="9" s="1"/>
  <c r="J33" i="5"/>
  <c r="F29" i="9" s="1"/>
  <c r="L27" i="5"/>
  <c r="G23" i="9" s="1"/>
  <c r="J27" i="5"/>
  <c r="F23" i="9" s="1"/>
  <c r="J24" i="5"/>
  <c r="F20" i="9" s="1"/>
  <c r="J23" i="5"/>
  <c r="F19" i="9" s="1"/>
  <c r="L25" i="5"/>
  <c r="G21" i="9" s="1"/>
  <c r="L24" i="5"/>
  <c r="G20" i="9" s="1"/>
  <c r="J34" i="5"/>
  <c r="F30" i="9" s="1"/>
  <c r="L31" i="5"/>
  <c r="G27" i="9" s="1"/>
  <c r="J26" i="5"/>
  <c r="F22" i="9" s="1"/>
  <c r="G17" i="9" l="1"/>
  <c r="M21" i="5"/>
  <c r="M27" i="5"/>
  <c r="N27" i="5" s="1"/>
  <c r="K24" i="5"/>
  <c r="K30" i="5"/>
  <c r="M23" i="5"/>
  <c r="N23" i="5" s="1"/>
  <c r="M32" i="5"/>
  <c r="N32" i="5" s="1"/>
  <c r="M31" i="5"/>
  <c r="N31" i="5" s="1"/>
  <c r="K33" i="5"/>
  <c r="M33" i="5"/>
  <c r="M22" i="5"/>
  <c r="N22" i="5" s="1"/>
  <c r="K26" i="5"/>
  <c r="K31" i="5"/>
  <c r="K32" i="5"/>
  <c r="K22" i="5"/>
  <c r="M29" i="5"/>
  <c r="N29" i="5" s="1"/>
  <c r="M24" i="5"/>
  <c r="M26" i="5"/>
  <c r="N26" i="5" s="1"/>
  <c r="M34" i="5"/>
  <c r="N34" i="5" s="1"/>
  <c r="N21" i="5"/>
  <c r="K25" i="5"/>
  <c r="K34" i="5"/>
  <c r="M25" i="5"/>
  <c r="N25" i="5" s="1"/>
  <c r="K21" i="5"/>
  <c r="M30" i="5"/>
  <c r="N30" i="5" s="1"/>
  <c r="M20" i="5"/>
  <c r="N20" i="5" s="1"/>
  <c r="K27" i="5"/>
  <c r="K20" i="5"/>
  <c r="K23" i="5"/>
  <c r="M28" i="5"/>
  <c r="N28" i="5" s="1"/>
  <c r="K28" i="5"/>
  <c r="K29" i="5"/>
  <c r="H29" i="9" l="1"/>
  <c r="N33" i="5"/>
  <c r="H20" i="9"/>
  <c r="N24" i="5"/>
  <c r="H16" i="9"/>
  <c r="M35" i="5"/>
  <c r="H51" i="5" s="1"/>
  <c r="H55" i="5" s="1"/>
  <c r="G46" i="9" s="1"/>
  <c r="K35" i="5"/>
  <c r="H22" i="9"/>
  <c r="H27" i="9"/>
  <c r="H21" i="9"/>
  <c r="H28" i="9"/>
  <c r="H25" i="9"/>
  <c r="H19" i="9"/>
  <c r="H30" i="9"/>
  <c r="H23" i="9"/>
  <c r="H17" i="9"/>
  <c r="H18" i="9"/>
  <c r="H24" i="9"/>
  <c r="H26" i="9"/>
  <c r="N35" i="5" l="1"/>
  <c r="I54" i="5" s="1"/>
  <c r="H50" i="5"/>
  <c r="G41" i="9" s="1"/>
  <c r="T5" i="5"/>
  <c r="S5" i="5" s="1"/>
  <c r="G42" i="9"/>
  <c r="S8" i="5" l="1"/>
  <c r="S7" i="5"/>
  <c r="S6" i="5"/>
  <c r="H46" i="9"/>
  <c r="I52" i="5"/>
  <c r="O16" i="5" l="1"/>
  <c r="H56" i="5" s="1"/>
  <c r="H43" i="9"/>
  <c r="H52" i="5"/>
  <c r="G43" i="9" s="1"/>
  <c r="G45" i="9"/>
  <c r="P34" i="5" l="1"/>
  <c r="I30" i="9" s="1"/>
  <c r="P19" i="5"/>
  <c r="G47" i="9"/>
  <c r="Q34" i="5" l="1"/>
  <c r="J30" i="9" s="1"/>
  <c r="P33" i="5"/>
  <c r="I29" i="9" s="1"/>
  <c r="P31" i="5"/>
  <c r="P23" i="5"/>
  <c r="I19" i="9" s="1"/>
  <c r="P25" i="5"/>
  <c r="I21" i="9" s="1"/>
  <c r="P27" i="5"/>
  <c r="Q27" i="5" s="1"/>
  <c r="J23" i="9" s="1"/>
  <c r="P24" i="5"/>
  <c r="Q24" i="5" s="1"/>
  <c r="J20" i="9" s="1"/>
  <c r="P29" i="5"/>
  <c r="I25" i="9" s="1"/>
  <c r="P17" i="5"/>
  <c r="I13" i="9" s="1"/>
  <c r="P21" i="5"/>
  <c r="Q21" i="5" s="1"/>
  <c r="J17" i="9" s="1"/>
  <c r="P20" i="5"/>
  <c r="I16" i="9" s="1"/>
  <c r="P22" i="5"/>
  <c r="I18" i="9" s="1"/>
  <c r="Q18" i="5"/>
  <c r="J14" i="9" s="1"/>
  <c r="P18" i="5"/>
  <c r="I14" i="9" s="1"/>
  <c r="P28" i="5"/>
  <c r="I24" i="9" s="1"/>
  <c r="P26" i="5"/>
  <c r="I22" i="9" s="1"/>
  <c r="P32" i="5"/>
  <c r="I28" i="9" s="1"/>
  <c r="P30" i="5"/>
  <c r="I26" i="9" s="1"/>
  <c r="Q26" i="5"/>
  <c r="J22" i="9" s="1"/>
  <c r="H57" i="5"/>
  <c r="G48" i="9" s="1"/>
  <c r="Q32" i="5"/>
  <c r="J28" i="9" s="1"/>
  <c r="Q20" i="5"/>
  <c r="J16" i="9" s="1"/>
  <c r="Q23" i="5"/>
  <c r="J19" i="9" s="1"/>
  <c r="Q29" i="5"/>
  <c r="J25" i="9" s="1"/>
  <c r="O35" i="5"/>
  <c r="I56" i="5" s="1"/>
  <c r="Q22" i="5"/>
  <c r="J18" i="9" s="1"/>
  <c r="I15" i="9"/>
  <c r="Q19" i="5"/>
  <c r="J15" i="9" s="1"/>
  <c r="H45" i="9"/>
  <c r="Q33" i="5"/>
  <c r="J29" i="9" s="1"/>
  <c r="Q30" i="5"/>
  <c r="J26" i="9" s="1"/>
  <c r="Q17" i="5" l="1"/>
  <c r="J13" i="9" s="1"/>
  <c r="Q28" i="5"/>
  <c r="J24" i="9" s="1"/>
  <c r="I27" i="9"/>
  <c r="Q31" i="5"/>
  <c r="J27" i="9" s="1"/>
  <c r="Q25" i="5"/>
  <c r="J21" i="9" s="1"/>
  <c r="I20" i="9"/>
  <c r="H47" i="9"/>
  <c r="I57" i="5"/>
  <c r="I17" i="9"/>
  <c r="I23" i="9"/>
  <c r="Q35" i="5" l="1"/>
  <c r="H58" i="5"/>
  <c r="G49" i="9" s="1"/>
  <c r="H48" i="9"/>
  <c r="F60" i="5"/>
  <c r="C51" i="9" s="1"/>
  <c r="J37" i="9"/>
  <c r="F32" i="9"/>
  <c r="H32" i="9" l="1"/>
  <c r="H3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Guest User</author>
    <author>tc={68F43FED-BFBF-4AE9-B04E-393BFBA7A159}</author>
  </authors>
  <commentList>
    <comment ref="E1" authorId="0" shapeId="0" xr:uid="{01E7B99C-8396-4C51-8C5D-FFE3A94CB28D}">
      <text>
        <r>
          <rPr>
            <sz val="11"/>
            <color theme="1"/>
            <rFont val="Calibri"/>
            <family val="2"/>
          </rPr>
          <t>Unknown User:
Herbicide, Insecticide, Fungucide</t>
        </r>
      </text>
    </comment>
    <comment ref="Q3" authorId="1" shapeId="0" xr:uid="{68F43FED-BFBF-4AE9-B04E-393BFBA7A159}">
      <text>
        <t>[Threaded comment]
Your version of Excel allows you to read this threaded comment; however, any edits to it will get removed if the file is opened in a newer version of Excel. Learn more: https://go.microsoft.com/fwlink/?linkid=870924
Comment:
    The brands where min qty is 175 gal, rebate is $15 rebate/gal.  They can mix and match as they desire</t>
      </text>
    </comment>
  </commentList>
</comments>
</file>

<file path=xl/sharedStrings.xml><?xml version="1.0" encoding="utf-8"?>
<sst xmlns="http://schemas.openxmlformats.org/spreadsheetml/2006/main" count="479" uniqueCount="216">
  <si>
    <t>NAME YOUR DRAFT ORDER HERE:</t>
  </si>
  <si>
    <r>
      <rPr>
        <b/>
        <sz val="10"/>
        <color rgb="FF000000"/>
        <rFont val="Calibri"/>
        <family val="2"/>
      </rPr>
      <t>Description</t>
    </r>
    <r>
      <rPr>
        <sz val="10"/>
        <color rgb="FF000000"/>
        <rFont val="Calibri"/>
        <family val="2"/>
      </rPr>
      <t xml:space="preserve">: </t>
    </r>
  </si>
  <si>
    <r>
      <rPr>
        <b/>
        <sz val="10"/>
        <color rgb="FF000000"/>
        <rFont val="Calibri"/>
        <family val="2"/>
      </rPr>
      <t>Dist/DSR</t>
    </r>
    <r>
      <rPr>
        <sz val="10"/>
        <color rgb="FF000000"/>
        <rFont val="Calibri"/>
        <family val="2"/>
      </rPr>
      <t xml:space="preserve">: </t>
    </r>
  </si>
  <si>
    <r>
      <rPr>
        <b/>
        <sz val="10"/>
        <color rgb="FF000000"/>
        <rFont val="Calibri"/>
        <family val="2"/>
      </rPr>
      <t>MER#</t>
    </r>
    <r>
      <rPr>
        <sz val="10"/>
        <color rgb="FF000000"/>
        <rFont val="Calibri"/>
        <family val="2"/>
      </rPr>
      <t xml:space="preserve">: </t>
    </r>
  </si>
  <si>
    <r>
      <rPr>
        <b/>
        <sz val="10"/>
        <color rgb="FF000000"/>
        <rFont val="Calibri"/>
        <family val="2"/>
      </rPr>
      <t>Last Updated</t>
    </r>
    <r>
      <rPr>
        <sz val="10"/>
        <color rgb="FF000000"/>
        <rFont val="Calibri"/>
        <family val="2"/>
      </rPr>
      <t xml:space="preserve">: </t>
    </r>
  </si>
  <si>
    <r>
      <rPr>
        <b/>
        <sz val="10"/>
        <color rgb="FF000000"/>
        <rFont val="Calibri"/>
        <family val="2"/>
      </rPr>
      <t>Created For</t>
    </r>
    <r>
      <rPr>
        <sz val="10"/>
        <color rgb="FF000000"/>
        <rFont val="Calibri"/>
        <family val="2"/>
      </rPr>
      <t xml:space="preserve">: </t>
    </r>
  </si>
  <si>
    <t>PRODUCT NAME</t>
  </si>
  <si>
    <t># UNITS</t>
  </si>
  <si>
    <t>INSEASON SUBTOTAL</t>
  </si>
  <si>
    <t>TOTAL AFTER REBATE</t>
  </si>
  <si>
    <t>Summary</t>
  </si>
  <si>
    <t>Summary is provided as an estimate only. See program rules and conditions.</t>
  </si>
  <si>
    <t>Page 1 of 1</t>
  </si>
  <si>
    <t>Agency/TT</t>
  </si>
  <si>
    <t>Segment</t>
  </si>
  <si>
    <t>Indication</t>
  </si>
  <si>
    <t>Program</t>
  </si>
  <si>
    <t xml:space="preserve">Old Bayer SKU </t>
  </si>
  <si>
    <t>Old Envu SKU</t>
  </si>
  <si>
    <t>SKU</t>
  </si>
  <si>
    <t>Product</t>
  </si>
  <si>
    <t>Size</t>
  </si>
  <si>
    <t>2025 In-Season Price</t>
  </si>
  <si>
    <t>NOW Price</t>
  </si>
  <si>
    <t>Min Qty</t>
  </si>
  <si>
    <t>Rebate $</t>
  </si>
  <si>
    <t>Final Price</t>
  </si>
  <si>
    <t>Price/Acre</t>
  </si>
  <si>
    <t>Price/1000 sq ft</t>
  </si>
  <si>
    <t>*cumlative</t>
  </si>
  <si>
    <t>TT</t>
  </si>
  <si>
    <t>G</t>
  </si>
  <si>
    <t>F</t>
  </si>
  <si>
    <t>H</t>
  </si>
  <si>
    <t>1 gal</t>
  </si>
  <si>
    <t>A</t>
  </si>
  <si>
    <t>I</t>
  </si>
  <si>
    <t>64 oz</t>
  </si>
  <si>
    <t>D00000907</t>
  </si>
  <si>
    <t>D00000623</t>
  </si>
  <si>
    <t>4+</t>
  </si>
  <si>
    <t>8+</t>
  </si>
  <si>
    <t>D00000911</t>
  </si>
  <si>
    <t>16+</t>
  </si>
  <si>
    <t>D00000914</t>
  </si>
  <si>
    <t>D00001373</t>
  </si>
  <si>
    <t>1-3</t>
  </si>
  <si>
    <t>D00001379</t>
  </si>
  <si>
    <t>D00000965</t>
  </si>
  <si>
    <t>8 oz</t>
  </si>
  <si>
    <t>D00000125</t>
  </si>
  <si>
    <t>1-11</t>
  </si>
  <si>
    <t>5 lb</t>
  </si>
  <si>
    <t>D00000989</t>
  </si>
  <si>
    <t>D00000990</t>
  </si>
  <si>
    <t>50 lb</t>
  </si>
  <si>
    <t xml:space="preserve">Talstar® Select Insecticide (RUP) </t>
  </si>
  <si>
    <t>12 oz</t>
  </si>
  <si>
    <t>ZM ADD</t>
  </si>
  <si>
    <t>SKU Code</t>
  </si>
  <si>
    <t>SKU CODE</t>
  </si>
  <si>
    <t>Description</t>
  </si>
  <si>
    <t>Instances</t>
  </si>
  <si>
    <t>MOQ_3</t>
  </si>
  <si>
    <t>MOQ_2</t>
  </si>
  <si>
    <t>MOQ_1</t>
  </si>
  <si>
    <t>REB_MOQ_1</t>
  </si>
  <si>
    <t>REB_MOQ_2</t>
  </si>
  <si>
    <t>REB_MOQ_3</t>
  </si>
  <si>
    <t>Set</t>
  </si>
  <si>
    <t>Order Form Quantity</t>
  </si>
  <si>
    <t>Qualified Rebate Tier</t>
  </si>
  <si>
    <r>
      <t xml:space="preserve">NET PRICE/UNIT
</t>
    </r>
    <r>
      <rPr>
        <b/>
        <i/>
        <sz val="8"/>
        <color rgb="FF000000"/>
        <rFont val="Calibri"/>
        <family val="2"/>
      </rPr>
      <t>(after rebate)</t>
    </r>
  </si>
  <si>
    <t>Region</t>
  </si>
  <si>
    <t>Vol Buys</t>
  </si>
  <si>
    <t>Manufacturer</t>
  </si>
  <si>
    <t>In SZN-NOW delta</t>
  </si>
  <si>
    <t>Package Ounces</t>
  </si>
  <si>
    <t>Standard Use Rate (oz/M)</t>
  </si>
  <si>
    <t>Standard Use Rate (oz/Acre)</t>
  </si>
  <si>
    <t>Total %</t>
  </si>
  <si>
    <t>NST</t>
  </si>
  <si>
    <t>GLO</t>
  </si>
  <si>
    <t>Kontos</t>
  </si>
  <si>
    <t>Volume Buy Counter</t>
  </si>
  <si>
    <t>Column1</t>
  </si>
  <si>
    <t>Estimated Total Before Off Invoice Discounts:</t>
  </si>
  <si>
    <t>Estimated Net Total after Rebates &amp; Discounts:</t>
  </si>
  <si>
    <t>ORIGINAL PRICE/UNIT</t>
  </si>
  <si>
    <t>Estimated Off-Invoice Discount:</t>
  </si>
  <si>
    <t>Estimated Total Rebate:</t>
  </si>
  <si>
    <t xml:space="preserve">         NATIONAL 2025 ORNAMENTALS SOLUTIONS CALCULATOR                  </t>
  </si>
  <si>
    <t>CA In-season Price</t>
  </si>
  <si>
    <t>CA NOW Price</t>
  </si>
  <si>
    <t>CA Final Price</t>
  </si>
  <si>
    <t>WA In-season Price</t>
  </si>
  <si>
    <t>WA NOW Price</t>
  </si>
  <si>
    <t>WA Final Price</t>
  </si>
  <si>
    <t>Envu</t>
  </si>
  <si>
    <t>EOP/ORN</t>
  </si>
  <si>
    <t>84989509</t>
  </si>
  <si>
    <t>D00000903</t>
  </si>
  <si>
    <t>Altus®</t>
  </si>
  <si>
    <t>1-15</t>
  </si>
  <si>
    <t>16-31</t>
  </si>
  <si>
    <t>32+</t>
  </si>
  <si>
    <t>FMC</t>
  </si>
  <si>
    <t>O</t>
  </si>
  <si>
    <t>ORN</t>
  </si>
  <si>
    <t xml:space="preserve">Aria® Insecticide  </t>
  </si>
  <si>
    <t>160 g</t>
  </si>
  <si>
    <t>PGR</t>
  </si>
  <si>
    <t>D00001274</t>
  </si>
  <si>
    <t>B-Nine</t>
  </si>
  <si>
    <t>86762153</t>
  </si>
  <si>
    <t>D00000908</t>
  </si>
  <si>
    <t>Broadform</t>
  </si>
  <si>
    <t>D00001275</t>
  </si>
  <si>
    <t>Floramite</t>
  </si>
  <si>
    <t>1 qt</t>
  </si>
  <si>
    <t>D00001272</t>
  </si>
  <si>
    <t>4-15</t>
  </si>
  <si>
    <t>86729148</t>
  </si>
  <si>
    <t>D00000946</t>
  </si>
  <si>
    <t>Marengo FLO</t>
  </si>
  <si>
    <t>84922757</t>
  </si>
  <si>
    <t>D00000945</t>
  </si>
  <si>
    <t>Marengo G</t>
  </si>
  <si>
    <t>1-39</t>
  </si>
  <si>
    <t>40-119</t>
  </si>
  <si>
    <t>120+</t>
  </si>
  <si>
    <t>84907898</t>
  </si>
  <si>
    <t>D00000987</t>
  </si>
  <si>
    <t>Savate</t>
  </si>
  <si>
    <t>12-29</t>
  </si>
  <si>
    <t>30+</t>
  </si>
  <si>
    <t>D00001276</t>
  </si>
  <si>
    <t>Shuttle</t>
  </si>
  <si>
    <t>1-15 units</t>
  </si>
  <si>
    <t>16-31 units</t>
  </si>
  <si>
    <t>32+ units</t>
  </si>
  <si>
    <t>1-3 units</t>
  </si>
  <si>
    <t>4-15 units</t>
  </si>
  <si>
    <t>16+ units</t>
  </si>
  <si>
    <t>1-39 units</t>
  </si>
  <si>
    <t>40-119 units</t>
  </si>
  <si>
    <t>120+ units</t>
  </si>
  <si>
    <t>1-11 units</t>
  </si>
  <si>
    <t>12-29 units</t>
  </si>
  <si>
    <t>30+ units</t>
  </si>
  <si>
    <t>Yes</t>
  </si>
  <si>
    <t>No</t>
  </si>
  <si>
    <t>Region:</t>
  </si>
  <si>
    <t>CA</t>
  </si>
  <si>
    <t>WA</t>
  </si>
  <si>
    <t>National</t>
  </si>
  <si>
    <t>Lookup</t>
  </si>
  <si>
    <t>SKU Code - LOOKUP</t>
  </si>
  <si>
    <t>Min Multi-Brand</t>
  </si>
  <si>
    <t>Multi-Brand Counter</t>
  </si>
  <si>
    <t>PURCHASE TIER REBATE</t>
  </si>
  <si>
    <t>Estimated Multi-Brand Rebate:</t>
  </si>
  <si>
    <t>MULTI-BRAND REBATE</t>
  </si>
  <si>
    <t>NON-AGENCY PRODUCTS</t>
  </si>
  <si>
    <t>n/a</t>
  </si>
  <si>
    <t>Volume Tier</t>
  </si>
  <si>
    <t>NET PRICE/UNIT 
(after all rebates)</t>
  </si>
  <si>
    <r>
      <t xml:space="preserve">SUBTOTAL
</t>
    </r>
    <r>
      <rPr>
        <b/>
        <i/>
        <sz val="9"/>
        <color rgb="FF000000"/>
        <rFont val="Calibri"/>
        <family val="2"/>
      </rPr>
      <t>(before rebates)</t>
    </r>
  </si>
  <si>
    <r>
      <t xml:space="preserve">SUBTOTAL
</t>
    </r>
    <r>
      <rPr>
        <b/>
        <i/>
        <sz val="9"/>
        <color rgb="FF000000"/>
        <rFont val="Calibri"/>
        <family val="2"/>
      </rPr>
      <t>(after rebate)</t>
    </r>
  </si>
  <si>
    <t>MULTI-BRAND REBATE REQUIREMENT</t>
  </si>
  <si>
    <t>16 bottles</t>
  </si>
  <si>
    <t>8 bottles</t>
  </si>
  <si>
    <t>40 bags</t>
  </si>
  <si>
    <t>12 bottles</t>
  </si>
  <si>
    <t>Altus® (64 fl.oz. bottle)</t>
  </si>
  <si>
    <t>Broadform® (12 fl. oz. bottle)</t>
  </si>
  <si>
    <t>Kontos® (32 oz. bottle)</t>
  </si>
  <si>
    <t>Marengo® (64 fl.oz. bottle)</t>
  </si>
  <si>
    <t>Marengo® G (50 lb. bag)</t>
  </si>
  <si>
    <t>Savate® (8 fl.oz. bottle)</t>
  </si>
  <si>
    <t>PRICE/
UNIT*</t>
  </si>
  <si>
    <t>INVOICE SUBTOTAL</t>
  </si>
  <si>
    <t>AGENCY MULTI-BRAND REBATE</t>
  </si>
  <si>
    <t>QUALIFYING BRAND PURCHASES</t>
  </si>
  <si>
    <t>MULTI-BRAND REBATE**†</t>
  </si>
  <si>
    <t>VOLUME 
BREAKS</t>
  </si>
  <si>
    <t>MINIMUM</t>
  </si>
  <si>
    <t>MAXIMUM</t>
  </si>
  <si>
    <t>BASE INCENTIVE†</t>
  </si>
  <si>
    <t>SEPTEMBER BONUS</t>
  </si>
  <si>
    <r>
      <t>BASE + BONUS</t>
    </r>
    <r>
      <rPr>
        <b/>
        <vertAlign val="superscript"/>
        <sz val="8"/>
        <color rgb="FF000000"/>
        <rFont val="Calibri"/>
        <family val="2"/>
      </rPr>
      <t>†</t>
    </r>
  </si>
  <si>
    <t>Estimated Total After Off Invoice Total:</t>
  </si>
  <si>
    <t>Multi-Brand Rebate, Volume Rebate and Tier Rebate</t>
  </si>
  <si>
    <t>Estimated Tier Rebate:</t>
  </si>
  <si>
    <t>MINIMUM QUANTITY 
REQUIREMENT</t>
  </si>
  <si>
    <t>REBATE PER UNIT</t>
  </si>
  <si>
    <t>8+ bottles</t>
  </si>
  <si>
    <t>4+ bags</t>
  </si>
  <si>
    <t>4+ bottles</t>
  </si>
  <si>
    <t>Count Sept. Bonus?</t>
  </si>
  <si>
    <t>Invoice subtotal must be a minimum of 
$5,000 to receive rebates</t>
  </si>
  <si>
    <t>Aria® (160 gram bottle)</t>
  </si>
  <si>
    <t>B-Nine® (5 lb. bag)</t>
  </si>
  <si>
    <t>Floramite® (32 fl. oz. bottle)</t>
  </si>
  <si>
    <t>Shuttle® (32 fl. oz. bottle)</t>
  </si>
  <si>
    <t>Talstar® Select (1 gallon bottle)</t>
  </si>
  <si>
    <t>Estimated Volume Buy Rebate (non-agency):</t>
  </si>
  <si>
    <t xml:space="preserve">TALSTAR SELECT IS A RESTRICTED USE PESTICIDE. For retail sale to and use only by Certified Applicators or persons under their direct supervision and only for those uses covered by the Certified Applicator’s certification. *Pricing for all states except CA or WA. Must be purchased on a single invoice to receive volume discount price. **Savings compared to 1 unit at the in-season National price. †Must be registered in My Envu Rewards and accept current Terms and Conditions to participate. Customer Ornamentals promotional cumulative purchases (Sept. 1 - Dec. 5, 2025) must be $5,000 or more to qualify for rebates. New members signed up before Dec. 31, 2025, will receive Ornamentals EOP rebates. All rebates for the 2025 Ornamentals EOP will be paid in points, which can be redeemed for thousands of catalog items, distributor credits and/or company checks (no checks can be issued to a third party). All products must be invoiced between Sept. 1 - Dec. 5, 2025, to qualify. Rebate calculations will be based on the date of actual product invoice and calculator tools are provided for estimation purposes only. Rebates will only be paid or delivered to the company or name listed on the invoice. Please allow for rebates to be fulfilled by July 31, 2026. End users are only eligible for one Envu incentive program on these invoiced products. Must be an end user with MER membership and accept current Terms and Conditions. Golf and Lawn Care operators are not eligible for the Altus, Kontos or Broadform Multi-Brand rebate. Resale of product(s) purchased within this program will not qualify for rebates. If questions arise, please contact MER at 1-888-456-6464 or email info@myenvurewards.com. Envu reserves the right to modify any portion thereof, or discontinue this program without prior notice. 
ALWAYS READ AND FOLLOW LABEL INSTRUCTIONS. Environmental Science U.S. LLC, 5000 CentreGreen Way, Suite 400, Cary, NC 27513. For additional product information, call toll-free 1-800-331-2867. www.envu.com. Please verify state registration of these products in your state before selling, using or distributing. Not all products are registered in all states. Envu, the Envu logo and product logos are trademarks owned by Environmental Science U.S. LLC or one of its affiliates. Other trademarks are the property of their respective owners. ©2025 Environmental Science U.S. LLC
</t>
  </si>
  <si>
    <t>TALSTAR SELECT IS A RESTRICTED USE PESTICIDE. For retail sale to and use only by Certified Applicators or persons under their direct supervision and only for those uses covered by the Certified Applicator’s certification. *Pricing for all states except CA or WA. Must be purchased on a single invoice to receive volume discount price. **Savings compared to 1 unit at the in-season National price. †Must be registered in My Envu Rewards and accept current Terms and Conditions to participate. Customer Ornamentals promotional cumulative purchases (Sept. 1 - Dec. 5, 2025) must be $5,000 or more to qualify for rebates. New members signed up before Dec. 31, 2025, will receive Ornamentals EOP rebates. All rebates for the 2025 Ornamentals EOP will be paid in points, which can be redeemed for thousands of catalog items, distributor credits and/or company checks (no checks can be issued to a third party). All products must be invoiced between Sept. 1 - Dec. 5, 2025, to qualify. Rebate calculations will be based on the date of actual product invoice and calculator tools are provided for estimation purposes only. Rebates will only be paid or delivered to the company or name listed on the invoice. Please allow for rebates to be fulfilled by July 31, 2026. End users are only eligible for one Envu incentive program on these invoiced products. Must be an end user with MER membership and accept current Terms and Conditions. Golf and Lawn Care operators are not eligible for the Altus, Kontos or Broadform Multi-Brand rebate. Resale of product(s) purchased within this program will not qualify for rebates. If questions arise, please contact MER at 1-888-456-6464 or email info@myenvurewards.com. Envu reserves the right to modify any portion thereof, or discontinue this program without prior notice. 
ALWAYS READ AND FOLLOW LABEL INSTRUCTIONS. Environmental Science U.S. LLC, 5000 CentreGreen Way, Suite 400, Cary, NC 27513. For additional product information, call toll-free 1-800-331-2867. www.envu.com. Please verify state registration of these products in your state before selling, using or distributing. Not all products are registered in all states. Envu, the Envu logo and product logos are trademarks owned by Environmental Science U.S. LLC or one of its affiliates. Other trademarks are the property of their respective owners. ©2025 Environmental Science U.S. LLC</t>
  </si>
  <si>
    <t>ESTIMATED PRICE AFTER REBATE</t>
  </si>
  <si>
    <t>ESTIMATED TOTAL AFTER REBATE</t>
  </si>
  <si>
    <t>NON-AGENCY BRAND REBATES</t>
  </si>
  <si>
    <t>EOP 
PRICE/UNIT</t>
  </si>
  <si>
    <t>ESTIMATED TOTAL PRICE BEFORE REBATE</t>
  </si>
  <si>
    <t>ESTIMATED INSEASON 
PRICE</t>
  </si>
  <si>
    <t>ESTIMATED INSEASON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</si>
</sst>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8" formatCode="&quot;$&quot;#,##0.00_);[Red]\(&quot;$&quot;#,##0.00\)"/>
    <numFmt numFmtId="44" formatCode="_(&quot;$&quot;* #,##0.00_);_(&quot;$&quot;* \(#,##0.00\);_(&quot;$&quot;* &quot;-&quot;??_);_(@_)"/>
    <numFmt numFmtId="164" formatCode="0.00######"/>
    <numFmt numFmtId="165" formatCode="\$\ #,##0.00"/>
    <numFmt numFmtId="166" formatCode="&quot;$&quot;#,##0.00"/>
    <numFmt numFmtId="167" formatCode="0.0%"/>
    <numFmt numFmtId="168" formatCode="\$\ #,##0"/>
  </numFmts>
  <fonts count="39" x14ac:knownFonts="1">
    <font>
      <sz val="11"/>
      <color rgb="FF000000"/>
      <name val="Calibri"/>
      <family val="2"/>
    </font>
    <font>
      <sz val="11"/>
      <color theme="1"/>
      <name val="Calibri"/>
      <family val="2"/>
      <scheme val="minor"/>
    </font>
    <font>
      <sz val="11"/>
      <color theme="1"/>
      <name val="Calibri"/>
      <family val="2"/>
      <scheme val="minor"/>
    </font>
    <font>
      <sz val="10"/>
      <color rgb="FF000000"/>
      <name val="Calibri"/>
      <family val="2"/>
    </font>
    <font>
      <b/>
      <sz val="16"/>
      <color rgb="FF000000"/>
      <name val="Calibri"/>
      <family val="2"/>
    </font>
    <font>
      <b/>
      <sz val="9"/>
      <color rgb="FF000000"/>
      <name val="Calibri"/>
      <family val="2"/>
    </font>
    <font>
      <b/>
      <sz val="10"/>
      <color rgb="FF000000"/>
      <name val="Calibri"/>
      <family val="2"/>
    </font>
    <font>
      <sz val="16"/>
      <color rgb="FF000000"/>
      <name val="Calibri"/>
      <family val="2"/>
    </font>
    <font>
      <sz val="11"/>
      <color rgb="FF000000"/>
      <name val="Calibri"/>
      <family val="2"/>
    </font>
    <font>
      <sz val="10"/>
      <color theme="1"/>
      <name val="Calibri"/>
      <family val="2"/>
    </font>
    <font>
      <sz val="12"/>
      <color rgb="FF000000"/>
      <name val="Calibri"/>
      <family val="2"/>
    </font>
    <font>
      <sz val="9"/>
      <color rgb="FF000000"/>
      <name val="Calibri"/>
      <family val="2"/>
    </font>
    <font>
      <sz val="10"/>
      <color theme="0"/>
      <name val="Calibri"/>
      <family val="2"/>
    </font>
    <font>
      <sz val="8"/>
      <color rgb="FF000000"/>
      <name val="Calibri"/>
      <family val="2"/>
    </font>
    <font>
      <b/>
      <sz val="14"/>
      <color theme="0"/>
      <name val="Arial"/>
      <family val="2"/>
    </font>
    <font>
      <b/>
      <sz val="11"/>
      <color theme="1"/>
      <name val="Calibri"/>
      <family val="2"/>
    </font>
    <font>
      <b/>
      <sz val="11"/>
      <color rgb="FF000000"/>
      <name val="Calibri"/>
      <family val="2"/>
    </font>
    <font>
      <sz val="11"/>
      <color rgb="FF7030A0"/>
      <name val="Calibri"/>
      <family val="2"/>
    </font>
    <font>
      <sz val="11"/>
      <color theme="1"/>
      <name val="Calibri"/>
      <family val="2"/>
    </font>
    <font>
      <sz val="11"/>
      <color theme="0"/>
      <name val="Calibri"/>
      <family val="2"/>
    </font>
    <font>
      <sz val="11"/>
      <color rgb="FF000000"/>
      <name val="Aptos Narrow"/>
      <family val="2"/>
    </font>
    <font>
      <sz val="11"/>
      <color rgb="FF000000"/>
      <name val="Calibri"/>
      <family val="2"/>
      <scheme val="minor"/>
    </font>
    <font>
      <b/>
      <sz val="10"/>
      <color rgb="FFC00000"/>
      <name val="Calibri"/>
      <family val="2"/>
    </font>
    <font>
      <b/>
      <i/>
      <sz val="8"/>
      <color rgb="FF000000"/>
      <name val="Calibri"/>
      <family val="2"/>
    </font>
    <font>
      <i/>
      <sz val="10"/>
      <color rgb="FF000000"/>
      <name val="Calibri"/>
      <family val="2"/>
    </font>
    <font>
      <sz val="9"/>
      <color theme="2" tint="-0.499984740745262"/>
      <name val="Calibri"/>
      <family val="2"/>
    </font>
    <font>
      <sz val="10"/>
      <name val="Calibri"/>
      <family val="2"/>
    </font>
    <font>
      <sz val="8"/>
      <color rgb="FF000000"/>
      <name val="Aptos Narrow"/>
      <family val="2"/>
    </font>
    <font>
      <b/>
      <sz val="18"/>
      <color theme="0"/>
      <name val="Calibri"/>
      <family val="2"/>
    </font>
    <font>
      <b/>
      <sz val="14"/>
      <color theme="0"/>
      <name val="Calibri"/>
      <family val="2"/>
    </font>
    <font>
      <sz val="8"/>
      <name val="Calibri"/>
      <family val="2"/>
    </font>
    <font>
      <strike/>
      <sz val="10"/>
      <color theme="2" tint="-0.499984740745262"/>
      <name val="Calibri"/>
      <family val="2"/>
    </font>
    <font>
      <sz val="10"/>
      <color theme="0" tint="-0.34998626667073579"/>
      <name val="Calibri"/>
      <family val="2"/>
    </font>
    <font>
      <b/>
      <i/>
      <sz val="9"/>
      <color rgb="FF000000"/>
      <name val="Calibri"/>
      <family val="2"/>
    </font>
    <font>
      <b/>
      <i/>
      <sz val="10"/>
      <color theme="0"/>
      <name val="Calibri"/>
      <family val="2"/>
    </font>
    <font>
      <b/>
      <sz val="7.5"/>
      <color rgb="FF000000"/>
      <name val="Calibri"/>
      <family val="2"/>
    </font>
    <font>
      <b/>
      <vertAlign val="superscript"/>
      <sz val="8"/>
      <color rgb="FF000000"/>
      <name val="Calibri"/>
      <family val="2"/>
    </font>
    <font>
      <b/>
      <u/>
      <sz val="11"/>
      <name val="Calibri"/>
      <family val="2"/>
    </font>
    <font>
      <sz val="9"/>
      <color theme="0"/>
      <name val="Calibri"/>
      <family val="2"/>
    </font>
  </fonts>
  <fills count="20">
    <fill>
      <patternFill patternType="none"/>
    </fill>
    <fill>
      <patternFill patternType="gray125"/>
    </fill>
    <fill>
      <patternFill patternType="solid">
        <fgColor rgb="FFFFFFCC"/>
      </patternFill>
    </fill>
    <fill>
      <patternFill patternType="solid">
        <fgColor rgb="FFFFFFFF"/>
      </patternFill>
    </fill>
    <fill>
      <patternFill patternType="solid">
        <fgColor rgb="FFFAFAFA"/>
      </patternFill>
    </fill>
    <fill>
      <patternFill patternType="solid">
        <fgColor rgb="FFDEE2E6"/>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5EBFF"/>
        <bgColor indexed="64"/>
      </patternFill>
    </fill>
    <fill>
      <patternFill patternType="solid">
        <fgColor theme="0" tint="-4.9989318521683403E-2"/>
        <bgColor indexed="64"/>
      </patternFill>
    </fill>
    <fill>
      <patternFill patternType="solid">
        <fgColor theme="1"/>
        <bgColor indexed="64"/>
      </patternFill>
    </fill>
    <fill>
      <patternFill patternType="solid">
        <fgColor rgb="FFF9F3FF"/>
        <bgColor indexed="64"/>
      </patternFill>
    </fill>
    <fill>
      <patternFill patternType="solid">
        <fgColor rgb="FF7E58AE"/>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0.749992370372631"/>
        <bgColor indexed="64"/>
      </patternFill>
    </fill>
    <fill>
      <patternFill patternType="solid">
        <fgColor theme="1" tint="0.14999847407452621"/>
        <bgColor indexed="64"/>
      </patternFill>
    </fill>
    <fill>
      <patternFill patternType="solid">
        <fgColor rgb="FF7030A0"/>
        <bgColor indexed="64"/>
      </patternFill>
    </fill>
    <fill>
      <patternFill patternType="solid">
        <fgColor theme="4" tint="0.79998168889431442"/>
        <bgColor indexed="64"/>
      </patternFill>
    </fill>
  </fills>
  <borders count="107">
    <border>
      <left/>
      <right/>
      <top/>
      <bottom/>
      <diagonal/>
    </border>
    <border>
      <left style="thin">
        <color rgb="FF777777"/>
      </left>
      <right style="thin">
        <color rgb="FF777777"/>
      </right>
      <top style="thin">
        <color rgb="FF777777"/>
      </top>
      <bottom style="thin">
        <color rgb="FF777777"/>
      </bottom>
      <diagonal/>
    </border>
    <border>
      <left/>
      <right/>
      <top/>
      <bottom style="thick">
        <color rgb="FF66B512"/>
      </bottom>
      <diagonal/>
    </border>
    <border>
      <left style="thin">
        <color rgb="FF777777"/>
      </left>
      <right style="thin">
        <color rgb="FF777777"/>
      </right>
      <top style="thin">
        <color rgb="FF777777"/>
      </top>
      <bottom/>
      <diagonal/>
    </border>
    <border>
      <left/>
      <right/>
      <top style="thick">
        <color rgb="FF66B51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77777"/>
      </left>
      <right style="thin">
        <color rgb="FF777777"/>
      </right>
      <top/>
      <bottom style="thin">
        <color rgb="FF777777"/>
      </bottom>
      <diagonal/>
    </border>
    <border>
      <left/>
      <right/>
      <top/>
      <bottom style="medium">
        <color theme="4"/>
      </bottom>
      <diagonal/>
    </border>
    <border>
      <left/>
      <right/>
      <top style="medium">
        <color theme="4"/>
      </top>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thin">
        <color rgb="FF000000"/>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rgb="FF777777"/>
      </left>
      <right style="thin">
        <color rgb="FF777777"/>
      </right>
      <top style="thin">
        <color rgb="FF777777"/>
      </top>
      <bottom style="thick">
        <color indexed="64"/>
      </bottom>
      <diagonal/>
    </border>
    <border>
      <left style="thin">
        <color indexed="64"/>
      </left>
      <right style="thin">
        <color indexed="64"/>
      </right>
      <top/>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777777"/>
      </right>
      <top style="medium">
        <color indexed="64"/>
      </top>
      <bottom style="thin">
        <color rgb="FF777777"/>
      </bottom>
      <diagonal/>
    </border>
    <border>
      <left style="thin">
        <color rgb="FF777777"/>
      </left>
      <right style="thin">
        <color rgb="FF777777"/>
      </right>
      <top style="medium">
        <color indexed="64"/>
      </top>
      <bottom style="thin">
        <color rgb="FF777777"/>
      </bottom>
      <diagonal/>
    </border>
    <border>
      <left style="thin">
        <color rgb="FF777777"/>
      </left>
      <right style="medium">
        <color indexed="64"/>
      </right>
      <top style="medium">
        <color indexed="64"/>
      </top>
      <bottom style="thin">
        <color rgb="FF777777"/>
      </bottom>
      <diagonal/>
    </border>
    <border>
      <left style="medium">
        <color indexed="64"/>
      </left>
      <right style="thin">
        <color rgb="FF777777"/>
      </right>
      <top style="thin">
        <color rgb="FF777777"/>
      </top>
      <bottom style="thin">
        <color rgb="FF777777"/>
      </bottom>
      <diagonal/>
    </border>
    <border>
      <left style="thin">
        <color rgb="FF777777"/>
      </left>
      <right style="medium">
        <color indexed="64"/>
      </right>
      <top style="thin">
        <color rgb="FF777777"/>
      </top>
      <bottom style="thin">
        <color rgb="FF777777"/>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rgb="FF777777"/>
      </left>
      <right style="thin">
        <color rgb="FF777777"/>
      </right>
      <top style="thin">
        <color rgb="FF777777"/>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ck">
        <color indexed="64"/>
      </bottom>
      <diagonal/>
    </border>
    <border>
      <left style="medium">
        <color indexed="64"/>
      </left>
      <right style="thin">
        <color rgb="FF777777"/>
      </right>
      <top style="thin">
        <color rgb="FF777777"/>
      </top>
      <bottom/>
      <diagonal/>
    </border>
    <border>
      <left style="thin">
        <color rgb="FF777777"/>
      </left>
      <right style="medium">
        <color indexed="64"/>
      </right>
      <top style="thin">
        <color rgb="FF777777"/>
      </top>
      <bottom/>
      <diagonal/>
    </border>
    <border>
      <left style="medium">
        <color indexed="64"/>
      </left>
      <right style="thin">
        <color indexed="64"/>
      </right>
      <top style="thin">
        <color indexed="64"/>
      </top>
      <bottom style="thin">
        <color indexed="64"/>
      </bottom>
      <diagonal/>
    </border>
    <border>
      <left style="medium">
        <color indexed="64"/>
      </left>
      <right style="thin">
        <color rgb="FF777777"/>
      </right>
      <top/>
      <bottom style="medium">
        <color indexed="64"/>
      </bottom>
      <diagonal/>
    </border>
    <border>
      <left style="thin">
        <color rgb="FF777777"/>
      </left>
      <right style="thin">
        <color rgb="FF777777"/>
      </right>
      <top/>
      <bottom style="medium">
        <color indexed="64"/>
      </bottom>
      <diagonal/>
    </border>
    <border>
      <left style="thick">
        <color indexed="64"/>
      </left>
      <right style="thin">
        <color auto="1"/>
      </right>
      <top style="thin">
        <color auto="1"/>
      </top>
      <bottom style="medium">
        <color indexed="64"/>
      </bottom>
      <diagonal/>
    </border>
    <border>
      <left style="thick">
        <color indexed="64"/>
      </left>
      <right style="thin">
        <color rgb="FF777777"/>
      </right>
      <top style="thick">
        <color indexed="64"/>
      </top>
      <bottom style="thin">
        <color rgb="FF777777"/>
      </bottom>
      <diagonal/>
    </border>
    <border>
      <left style="thin">
        <color rgb="FF777777"/>
      </left>
      <right style="thin">
        <color rgb="FF777777"/>
      </right>
      <top style="thick">
        <color indexed="64"/>
      </top>
      <bottom style="thin">
        <color rgb="FF777777"/>
      </bottom>
      <diagonal/>
    </border>
    <border>
      <left style="thick">
        <color indexed="64"/>
      </left>
      <right style="thin">
        <color rgb="FF777777"/>
      </right>
      <top style="thin">
        <color rgb="FF777777"/>
      </top>
      <bottom style="thin">
        <color rgb="FF777777"/>
      </bottom>
      <diagonal/>
    </border>
    <border>
      <left style="thick">
        <color indexed="64"/>
      </left>
      <right style="thin">
        <color rgb="FF777777"/>
      </right>
      <top style="thin">
        <color rgb="FF777777"/>
      </top>
      <bottom style="thick">
        <color indexed="64"/>
      </bottom>
      <diagonal/>
    </border>
    <border>
      <left style="thick">
        <color indexed="64"/>
      </left>
      <right style="thin">
        <color rgb="FF777777"/>
      </right>
      <top style="thick">
        <color indexed="64"/>
      </top>
      <bottom/>
      <diagonal/>
    </border>
    <border>
      <left style="thin">
        <color rgb="FF777777"/>
      </left>
      <right style="thick">
        <color indexed="64"/>
      </right>
      <top/>
      <bottom style="thin">
        <color rgb="FF777777"/>
      </bottom>
      <diagonal/>
    </border>
    <border>
      <left style="thick">
        <color indexed="64"/>
      </left>
      <right style="thin">
        <color rgb="FF777777"/>
      </right>
      <top/>
      <bottom/>
      <diagonal/>
    </border>
    <border>
      <left style="thin">
        <color rgb="FF777777"/>
      </left>
      <right style="thick">
        <color indexed="64"/>
      </right>
      <top style="thin">
        <color rgb="FF777777"/>
      </top>
      <bottom style="thin">
        <color rgb="FF777777"/>
      </bottom>
      <diagonal/>
    </border>
    <border>
      <left style="thick">
        <color indexed="64"/>
      </left>
      <right style="thin">
        <color rgb="FF777777"/>
      </right>
      <top/>
      <bottom style="thin">
        <color indexed="64"/>
      </bottom>
      <diagonal/>
    </border>
    <border>
      <left style="thin">
        <color rgb="FF777777"/>
      </left>
      <right style="thick">
        <color indexed="64"/>
      </right>
      <top style="thin">
        <color rgb="FF777777"/>
      </top>
      <bottom style="thin">
        <color indexed="64"/>
      </bottom>
      <diagonal/>
    </border>
    <border>
      <left style="thin">
        <color rgb="FF777777"/>
      </left>
      <right style="thick">
        <color indexed="64"/>
      </right>
      <top style="thin">
        <color rgb="FF777777"/>
      </top>
      <bottom/>
      <diagonal/>
    </border>
    <border>
      <left style="thick">
        <color indexed="64"/>
      </left>
      <right style="thin">
        <color rgb="FF777777"/>
      </right>
      <top/>
      <bottom style="thin">
        <color rgb="FF777777"/>
      </bottom>
      <diagonal/>
    </border>
    <border>
      <left style="thin">
        <color rgb="FF777777"/>
      </left>
      <right style="thin">
        <color rgb="FF777777"/>
      </right>
      <top/>
      <bottom style="thick">
        <color indexed="64"/>
      </bottom>
      <diagonal/>
    </border>
    <border>
      <left style="thin">
        <color rgb="FF777777"/>
      </left>
      <right style="thick">
        <color indexed="64"/>
      </right>
      <top style="thin">
        <color rgb="FF777777"/>
      </top>
      <bottom style="thick">
        <color indexed="64"/>
      </bottom>
      <diagonal/>
    </border>
    <border>
      <left style="thin">
        <color rgb="FF777777"/>
      </left>
      <right/>
      <top style="thick">
        <color indexed="64"/>
      </top>
      <bottom style="thin">
        <color rgb="FF777777"/>
      </bottom>
      <diagonal/>
    </border>
    <border>
      <left style="thin">
        <color rgb="FF777777"/>
      </left>
      <right/>
      <top style="thin">
        <color rgb="FF777777"/>
      </top>
      <bottom style="thin">
        <color rgb="FF777777"/>
      </bottom>
      <diagonal/>
    </border>
    <border>
      <left style="thin">
        <color rgb="FF777777"/>
      </left>
      <right/>
      <top style="thin">
        <color rgb="FF777777"/>
      </top>
      <bottom style="thick">
        <color indexed="64"/>
      </bottom>
      <diagonal/>
    </border>
    <border>
      <left style="thin">
        <color rgb="FF777777"/>
      </left>
      <right/>
      <top/>
      <bottom style="thin">
        <color rgb="FF777777"/>
      </bottom>
      <diagonal/>
    </border>
    <border>
      <left style="thin">
        <color rgb="FF777777"/>
      </left>
      <right/>
      <top style="thin">
        <color rgb="FF777777"/>
      </top>
      <bottom style="thin">
        <color indexed="64"/>
      </bottom>
      <diagonal/>
    </border>
    <border>
      <left style="thin">
        <color rgb="FF777777"/>
      </left>
      <right/>
      <top style="thin">
        <color rgb="FF777777"/>
      </top>
      <bottom/>
      <diagonal/>
    </border>
    <border>
      <left style="thin">
        <color rgb="FF777777"/>
      </left>
      <right style="thick">
        <color indexed="64"/>
      </right>
      <top style="thick">
        <color indexed="64"/>
      </top>
      <bottom style="thin">
        <color rgb="FF777777"/>
      </bottom>
      <diagonal/>
    </border>
    <border>
      <left/>
      <right style="thick">
        <color indexed="64"/>
      </right>
      <top style="thin">
        <color indexed="64"/>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ck">
        <color indexed="64"/>
      </left>
      <right/>
      <top style="thin">
        <color auto="1"/>
      </top>
      <bottom style="thin">
        <color indexed="64"/>
      </bottom>
      <diagonal/>
    </border>
  </borders>
  <cellStyleXfs count="8">
    <xf numFmtId="0" fontId="0" fillId="0" borderId="0" applyBorder="0"/>
    <xf numFmtId="9" fontId="8"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8" fillId="0" borderId="0" applyFont="0" applyFill="0" applyBorder="0" applyAlignment="0" applyProtection="0"/>
    <xf numFmtId="0" fontId="18" fillId="0" borderId="0"/>
    <xf numFmtId="44" fontId="18" fillId="0" borderId="0" applyFont="0" applyFill="0" applyBorder="0" applyAlignment="0" applyProtection="0"/>
  </cellStyleXfs>
  <cellXfs count="348">
    <xf numFmtId="0" fontId="0" fillId="0" borderId="0" xfId="0"/>
    <xf numFmtId="0" fontId="0" fillId="0" borderId="0" xfId="0" applyAlignment="1">
      <alignment horizontal="center"/>
    </xf>
    <xf numFmtId="0" fontId="18" fillId="0" borderId="0" xfId="6"/>
    <xf numFmtId="0" fontId="18" fillId="6" borderId="0" xfId="6" applyFill="1"/>
    <xf numFmtId="0" fontId="1" fillId="0" borderId="0" xfId="6" applyFont="1" applyAlignment="1">
      <alignment horizontal="left"/>
    </xf>
    <xf numFmtId="0" fontId="18" fillId="0" borderId="0" xfId="6" applyAlignment="1">
      <alignment horizontal="center"/>
    </xf>
    <xf numFmtId="44" fontId="0" fillId="0" borderId="0" xfId="7" applyFont="1"/>
    <xf numFmtId="0" fontId="20" fillId="0" borderId="0" xfId="6" applyFont="1"/>
    <xf numFmtId="0" fontId="20" fillId="6" borderId="0" xfId="6" applyFont="1" applyFill="1"/>
    <xf numFmtId="0" fontId="21" fillId="0" borderId="0" xfId="6" applyFont="1" applyAlignment="1">
      <alignment horizontal="left" vertical="center" wrapText="1"/>
    </xf>
    <xf numFmtId="44" fontId="0" fillId="0" borderId="0" xfId="7" applyFont="1" applyFill="1"/>
    <xf numFmtId="0" fontId="21" fillId="0" borderId="0" xfId="6" applyFont="1" applyAlignment="1">
      <alignment horizontal="left"/>
    </xf>
    <xf numFmtId="0" fontId="18" fillId="6" borderId="0" xfId="6" applyFill="1" applyAlignment="1">
      <alignment horizontal="center" vertical="top"/>
    </xf>
    <xf numFmtId="0" fontId="21" fillId="0" borderId="0" xfId="6" applyFont="1" applyAlignment="1">
      <alignment horizontal="left" vertical="center"/>
    </xf>
    <xf numFmtId="0" fontId="18" fillId="0" borderId="0" xfId="6" quotePrefix="1" applyAlignment="1">
      <alignment horizontal="center"/>
    </xf>
    <xf numFmtId="49" fontId="18" fillId="6" borderId="0" xfId="6" quotePrefix="1" applyNumberFormat="1" applyFill="1" applyAlignment="1">
      <alignment horizontal="center"/>
    </xf>
    <xf numFmtId="8" fontId="18" fillId="0" borderId="0" xfId="6" applyNumberFormat="1"/>
    <xf numFmtId="44" fontId="18" fillId="0" borderId="0" xfId="6" applyNumberFormat="1"/>
    <xf numFmtId="49" fontId="18" fillId="6" borderId="0" xfId="6" applyNumberFormat="1" applyFill="1" applyAlignment="1">
      <alignment horizontal="center"/>
    </xf>
    <xf numFmtId="0" fontId="0" fillId="0" borderId="0" xfId="0" applyAlignment="1">
      <alignment horizontal="left"/>
    </xf>
    <xf numFmtId="0" fontId="0" fillId="0" borderId="0" xfId="0" applyBorder="1"/>
    <xf numFmtId="0" fontId="0" fillId="14" borderId="0" xfId="0" applyFill="1" applyBorder="1" applyAlignment="1">
      <alignment horizontal="center"/>
    </xf>
    <xf numFmtId="0" fontId="0" fillId="14" borderId="15" xfId="0" applyFill="1" applyBorder="1" applyAlignment="1">
      <alignment horizontal="center"/>
    </xf>
    <xf numFmtId="0" fontId="0" fillId="14" borderId="16" xfId="0" applyFill="1" applyBorder="1" applyAlignment="1">
      <alignment horizontal="center"/>
    </xf>
    <xf numFmtId="0" fontId="0" fillId="14" borderId="17" xfId="0" applyFill="1" applyBorder="1" applyAlignment="1">
      <alignment horizontal="center"/>
    </xf>
    <xf numFmtId="0" fontId="0" fillId="14" borderId="18" xfId="0" applyFill="1" applyBorder="1" applyAlignment="1">
      <alignment horizontal="center"/>
    </xf>
    <xf numFmtId="0" fontId="0" fillId="14" borderId="19" xfId="0" applyFill="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15" xfId="0" applyBorder="1" applyAlignment="1">
      <alignment horizontal="left"/>
    </xf>
    <xf numFmtId="0" fontId="0" fillId="0" borderId="16" xfId="0" applyBorder="1"/>
    <xf numFmtId="0" fontId="0" fillId="0" borderId="17" xfId="0" applyBorder="1" applyAlignment="1">
      <alignment horizontal="center"/>
    </xf>
    <xf numFmtId="0" fontId="0" fillId="0" borderId="18" xfId="0" applyBorder="1" applyAlignment="1">
      <alignment horizontal="left"/>
    </xf>
    <xf numFmtId="0" fontId="0" fillId="0" borderId="19" xfId="0" applyBorder="1" applyAlignment="1">
      <alignment horizontal="center"/>
    </xf>
    <xf numFmtId="0" fontId="0" fillId="0" borderId="28" xfId="0" applyBorder="1" applyAlignment="1">
      <alignment horizontal="left"/>
    </xf>
    <xf numFmtId="0" fontId="0" fillId="0" borderId="29" xfId="0" applyBorder="1"/>
    <xf numFmtId="0" fontId="0" fillId="0" borderId="30" xfId="0" applyBorder="1"/>
    <xf numFmtId="44" fontId="0" fillId="15" borderId="15" xfId="5" applyFont="1" applyFill="1" applyBorder="1"/>
    <xf numFmtId="44" fontId="0" fillId="15" borderId="16" xfId="5" applyFont="1" applyFill="1" applyBorder="1"/>
    <xf numFmtId="44" fontId="0" fillId="15" borderId="17" xfId="5" applyFont="1" applyFill="1" applyBorder="1"/>
    <xf numFmtId="44" fontId="0" fillId="15" borderId="18" xfId="5" applyFont="1" applyFill="1" applyBorder="1"/>
    <xf numFmtId="44" fontId="0" fillId="15" borderId="0" xfId="5" applyFont="1" applyFill="1" applyBorder="1"/>
    <xf numFmtId="44" fontId="0" fillId="15" borderId="19" xfId="5" applyFont="1" applyFill="1" applyBorder="1"/>
    <xf numFmtId="0" fontId="0" fillId="0" borderId="29" xfId="0" applyBorder="1" applyAlignment="1">
      <alignment horizontal="left"/>
    </xf>
    <xf numFmtId="0" fontId="19" fillId="16" borderId="0" xfId="0" applyFont="1" applyFill="1"/>
    <xf numFmtId="0" fontId="3" fillId="4" borderId="13"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3" fillId="4" borderId="12" xfId="0" applyFont="1" applyFill="1" applyBorder="1" applyAlignment="1" applyProtection="1">
      <alignment horizontal="center" vertical="center" wrapText="1"/>
      <protection hidden="1"/>
    </xf>
    <xf numFmtId="0" fontId="3" fillId="3" borderId="6" xfId="0" applyFont="1" applyFill="1" applyBorder="1" applyAlignment="1" applyProtection="1">
      <alignment horizontal="center" vertical="center" wrapText="1"/>
      <protection hidden="1"/>
    </xf>
    <xf numFmtId="165" fontId="3" fillId="8" borderId="24" xfId="0" applyNumberFormat="1" applyFont="1" applyFill="1" applyBorder="1" applyAlignment="1" applyProtection="1">
      <alignment horizontal="center" vertical="center"/>
      <protection hidden="1"/>
    </xf>
    <xf numFmtId="165" fontId="3" fillId="3" borderId="24" xfId="0" applyNumberFormat="1" applyFont="1" applyFill="1" applyBorder="1" applyAlignment="1" applyProtection="1">
      <alignment horizontal="center" vertical="center"/>
      <protection hidden="1"/>
    </xf>
    <xf numFmtId="0" fontId="3" fillId="7" borderId="0" xfId="0" applyFont="1" applyFill="1" applyProtection="1">
      <protection hidden="1"/>
    </xf>
    <xf numFmtId="1" fontId="3" fillId="7" borderId="0" xfId="0" applyNumberFormat="1" applyFont="1" applyFill="1" applyProtection="1">
      <protection hidden="1"/>
    </xf>
    <xf numFmtId="0" fontId="0" fillId="7" borderId="0" xfId="0" applyFill="1" applyProtection="1">
      <protection hidden="1"/>
    </xf>
    <xf numFmtId="0" fontId="0" fillId="0" borderId="0" xfId="0" applyProtection="1">
      <protection hidden="1"/>
    </xf>
    <xf numFmtId="0" fontId="0" fillId="7" borderId="0" xfId="0" applyFill="1" applyAlignment="1" applyProtection="1">
      <alignment horizontal="center"/>
      <protection hidden="1"/>
    </xf>
    <xf numFmtId="3" fontId="3" fillId="7" borderId="8" xfId="0" applyNumberFormat="1" applyFont="1" applyFill="1" applyBorder="1" applyAlignment="1" applyProtection="1">
      <alignment horizontal="center" vertical="center"/>
      <protection hidden="1"/>
    </xf>
    <xf numFmtId="3" fontId="3" fillId="7" borderId="1" xfId="0" applyNumberFormat="1" applyFont="1" applyFill="1" applyBorder="1" applyAlignment="1" applyProtection="1">
      <alignment horizontal="center" vertical="center"/>
      <protection hidden="1"/>
    </xf>
    <xf numFmtId="1" fontId="3" fillId="7" borderId="0" xfId="0" applyNumberFormat="1" applyFont="1" applyFill="1" applyBorder="1" applyAlignment="1" applyProtection="1">
      <alignment horizontal="center" vertical="center"/>
      <protection hidden="1"/>
    </xf>
    <xf numFmtId="165" fontId="9" fillId="4" borderId="0" xfId="0" applyNumberFormat="1" applyFont="1" applyFill="1" applyBorder="1" applyProtection="1">
      <protection hidden="1"/>
    </xf>
    <xf numFmtId="0" fontId="10" fillId="3" borderId="2" xfId="0" applyFont="1" applyFill="1" applyBorder="1" applyProtection="1">
      <protection hidden="1"/>
    </xf>
    <xf numFmtId="0" fontId="3" fillId="3" borderId="0" xfId="0" applyFont="1" applyFill="1" applyProtection="1">
      <protection hidden="1"/>
    </xf>
    <xf numFmtId="0" fontId="14" fillId="13" borderId="0" xfId="0" applyFont="1" applyFill="1" applyAlignment="1" applyProtection="1">
      <alignment horizontal="left" vertical="center" wrapText="1"/>
      <protection hidden="1"/>
    </xf>
    <xf numFmtId="165" fontId="3" fillId="13" borderId="0" xfId="0" applyNumberFormat="1" applyFont="1" applyFill="1" applyProtection="1">
      <protection hidden="1"/>
    </xf>
    <xf numFmtId="0" fontId="14" fillId="7" borderId="0" xfId="0" applyFont="1" applyFill="1" applyAlignment="1" applyProtection="1">
      <alignment horizontal="left" vertical="center" wrapText="1"/>
      <protection hidden="1"/>
    </xf>
    <xf numFmtId="164" fontId="3" fillId="3" borderId="0" xfId="0" applyNumberFormat="1" applyFont="1" applyFill="1" applyProtection="1">
      <protection hidden="1"/>
    </xf>
    <xf numFmtId="165" fontId="3" fillId="3" borderId="0" xfId="0" applyNumberFormat="1" applyFont="1" applyFill="1" applyProtection="1">
      <protection hidden="1"/>
    </xf>
    <xf numFmtId="165" fontId="3" fillId="3" borderId="0" xfId="0" applyNumberFormat="1" applyFont="1" applyFill="1" applyBorder="1" applyProtection="1">
      <protection hidden="1"/>
    </xf>
    <xf numFmtId="0" fontId="3" fillId="3" borderId="0" xfId="0" applyFont="1" applyFill="1" applyBorder="1" applyProtection="1">
      <protection hidden="1"/>
    </xf>
    <xf numFmtId="0" fontId="22" fillId="3" borderId="0" xfId="0" applyFont="1" applyFill="1" applyAlignment="1" applyProtection="1">
      <alignment horizontal="center"/>
      <protection hidden="1"/>
    </xf>
    <xf numFmtId="0" fontId="3" fillId="3" borderId="0" xfId="0" applyFont="1" applyFill="1" applyAlignment="1" applyProtection="1">
      <alignment horizontal="right"/>
      <protection hidden="1"/>
    </xf>
    <xf numFmtId="0" fontId="4" fillId="3" borderId="0" xfId="0" applyFont="1" applyFill="1" applyBorder="1" applyAlignment="1" applyProtection="1">
      <alignment horizontal="center"/>
      <protection hidden="1"/>
    </xf>
    <xf numFmtId="0" fontId="11" fillId="3" borderId="0" xfId="0" applyFont="1" applyFill="1" applyBorder="1" applyAlignment="1" applyProtection="1">
      <alignment vertical="top" wrapText="1"/>
      <protection hidden="1"/>
    </xf>
    <xf numFmtId="0" fontId="7" fillId="3" borderId="9" xfId="0" applyFont="1" applyFill="1" applyBorder="1" applyAlignment="1" applyProtection="1">
      <alignment horizontal="left"/>
      <protection hidden="1"/>
    </xf>
    <xf numFmtId="0" fontId="7" fillId="3" borderId="0" xfId="0" applyFont="1" applyFill="1" applyBorder="1" applyAlignment="1" applyProtection="1">
      <alignment vertical="center"/>
      <protection hidden="1"/>
    </xf>
    <xf numFmtId="0" fontId="7" fillId="3" borderId="0" xfId="0" applyFont="1" applyFill="1" applyBorder="1" applyAlignment="1" applyProtection="1">
      <alignment vertical="top"/>
      <protection hidden="1"/>
    </xf>
    <xf numFmtId="4" fontId="7" fillId="3" borderId="0" xfId="0" applyNumberFormat="1" applyFont="1" applyFill="1" applyBorder="1" applyAlignment="1" applyProtection="1">
      <alignment vertical="center"/>
      <protection hidden="1"/>
    </xf>
    <xf numFmtId="0" fontId="3" fillId="3" borderId="0" xfId="0" applyFont="1" applyFill="1" applyBorder="1" applyAlignment="1" applyProtection="1">
      <alignment vertical="top" wrapText="1"/>
      <protection hidden="1"/>
    </xf>
    <xf numFmtId="0" fontId="3" fillId="3" borderId="0" xfId="0" applyFont="1" applyFill="1" applyBorder="1" applyAlignment="1" applyProtection="1">
      <alignment vertical="center" wrapText="1"/>
      <protection hidden="1"/>
    </xf>
    <xf numFmtId="1" fontId="3" fillId="3" borderId="0" xfId="0" applyNumberFormat="1" applyFont="1" applyFill="1" applyAlignment="1" applyProtection="1">
      <alignment horizontal="right"/>
      <protection hidden="1"/>
    </xf>
    <xf numFmtId="0" fontId="27" fillId="3" borderId="0" xfId="0" applyFont="1" applyFill="1" applyBorder="1" applyAlignment="1" applyProtection="1">
      <alignment vertical="top" wrapText="1"/>
      <protection hidden="1"/>
    </xf>
    <xf numFmtId="3" fontId="3" fillId="7" borderId="44"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center" indent="1"/>
      <protection hidden="1"/>
    </xf>
    <xf numFmtId="167" fontId="3" fillId="3" borderId="5" xfId="1" applyNumberFormat="1" applyFont="1" applyFill="1" applyBorder="1" applyAlignment="1" applyProtection="1">
      <alignment horizontal="center" vertical="center"/>
      <protection hidden="1"/>
    </xf>
    <xf numFmtId="167" fontId="3" fillId="8" borderId="5" xfId="1" applyNumberFormat="1" applyFont="1" applyFill="1" applyBorder="1" applyAlignment="1" applyProtection="1">
      <alignment horizontal="center" vertical="center"/>
      <protection hidden="1"/>
    </xf>
    <xf numFmtId="165" fontId="26" fillId="7" borderId="0" xfId="0" applyNumberFormat="1" applyFont="1" applyFill="1" applyProtection="1">
      <protection hidden="1"/>
    </xf>
    <xf numFmtId="0" fontId="26" fillId="7" borderId="0" xfId="0" applyFont="1" applyFill="1" applyProtection="1">
      <protection hidden="1"/>
    </xf>
    <xf numFmtId="165" fontId="26" fillId="3" borderId="0" xfId="0" applyNumberFormat="1" applyFont="1" applyFill="1" applyProtection="1">
      <protection hidden="1"/>
    </xf>
    <xf numFmtId="0" fontId="27" fillId="3" borderId="0" xfId="0" applyFont="1" applyFill="1" applyBorder="1" applyAlignment="1" applyProtection="1">
      <alignment horizontal="left" vertical="top" wrapText="1"/>
      <protection hidden="1"/>
    </xf>
    <xf numFmtId="0" fontId="24" fillId="3" borderId="0" xfId="0" applyFont="1" applyFill="1" applyBorder="1" applyAlignment="1" applyProtection="1">
      <alignment horizontal="left" vertical="center"/>
      <protection hidden="1"/>
    </xf>
    <xf numFmtId="0" fontId="3" fillId="3" borderId="5" xfId="0" applyFont="1" applyFill="1" applyBorder="1" applyAlignment="1" applyProtection="1">
      <alignment horizontal="center" vertical="center"/>
      <protection hidden="1"/>
    </xf>
    <xf numFmtId="0" fontId="0" fillId="0" borderId="16" xfId="0" applyBorder="1" applyAlignment="1">
      <alignment horizontal="center"/>
    </xf>
    <xf numFmtId="0" fontId="0" fillId="0" borderId="0" xfId="0" applyBorder="1" applyAlignment="1">
      <alignment horizontal="center"/>
    </xf>
    <xf numFmtId="0" fontId="22" fillId="3" borderId="0" xfId="0" applyFont="1" applyFill="1" applyBorder="1" applyAlignment="1" applyProtection="1">
      <alignment vertical="top"/>
      <protection hidden="1"/>
    </xf>
    <xf numFmtId="165" fontId="3" fillId="3" borderId="24" xfId="0" applyNumberFormat="1" applyFont="1" applyFill="1" applyBorder="1" applyAlignment="1" applyProtection="1">
      <alignment horizontal="right" vertical="center" indent="2"/>
      <protection hidden="1"/>
    </xf>
    <xf numFmtId="0" fontId="6" fillId="3" borderId="6" xfId="0" applyFont="1" applyFill="1" applyBorder="1" applyAlignment="1" applyProtection="1">
      <alignment horizontal="center" vertical="center" wrapText="1"/>
      <protection hidden="1"/>
    </xf>
    <xf numFmtId="0" fontId="3" fillId="3" borderId="0" xfId="0" applyFont="1" applyFill="1" applyAlignment="1" applyProtection="1">
      <alignment vertical="center"/>
      <protection hidden="1"/>
    </xf>
    <xf numFmtId="0" fontId="3" fillId="11" borderId="5" xfId="0" applyFont="1" applyFill="1" applyBorder="1" applyAlignment="1" applyProtection="1">
      <alignment horizontal="center" vertical="center"/>
      <protection hidden="1"/>
    </xf>
    <xf numFmtId="0" fontId="3" fillId="3" borderId="49" xfId="0" applyFont="1" applyFill="1" applyBorder="1" applyAlignment="1" applyProtection="1">
      <alignment horizontal="center" vertical="center"/>
      <protection hidden="1"/>
    </xf>
    <xf numFmtId="0" fontId="3" fillId="4" borderId="49" xfId="0" applyFont="1" applyFill="1" applyBorder="1" applyAlignment="1" applyProtection="1">
      <alignment horizontal="center" vertical="center"/>
      <protection hidden="1"/>
    </xf>
    <xf numFmtId="0" fontId="3" fillId="0" borderId="49" xfId="0" applyFont="1" applyBorder="1" applyAlignment="1" applyProtection="1">
      <alignment horizontal="center" vertical="center"/>
      <protection hidden="1"/>
    </xf>
    <xf numFmtId="0" fontId="3" fillId="11" borderId="49" xfId="0" applyFont="1" applyFill="1" applyBorder="1" applyAlignment="1" applyProtection="1">
      <alignment horizontal="center" vertical="center"/>
      <protection hidden="1"/>
    </xf>
    <xf numFmtId="0" fontId="3" fillId="11" borderId="45" xfId="0" applyFont="1" applyFill="1" applyBorder="1" applyAlignment="1" applyProtection="1">
      <alignment horizontal="center" vertical="center"/>
      <protection hidden="1"/>
    </xf>
    <xf numFmtId="0" fontId="3" fillId="5" borderId="50" xfId="0" applyFont="1" applyFill="1" applyBorder="1" applyProtection="1">
      <protection hidden="1"/>
    </xf>
    <xf numFmtId="0" fontId="3" fillId="5" borderId="51" xfId="0" applyFont="1" applyFill="1" applyBorder="1" applyProtection="1">
      <protection hidden="1"/>
    </xf>
    <xf numFmtId="0" fontId="3" fillId="5" borderId="40" xfId="0" applyFont="1" applyFill="1" applyBorder="1" applyProtection="1">
      <protection hidden="1"/>
    </xf>
    <xf numFmtId="0" fontId="6" fillId="5" borderId="41" xfId="0" applyFont="1" applyFill="1" applyBorder="1" applyAlignment="1" applyProtection="1">
      <alignment horizontal="center" vertical="center"/>
      <protection hidden="1"/>
    </xf>
    <xf numFmtId="167" fontId="12" fillId="17" borderId="5" xfId="1" applyNumberFormat="1" applyFont="1" applyFill="1" applyBorder="1" applyAlignment="1" applyProtection="1">
      <alignment horizontal="center" vertical="center"/>
      <protection hidden="1"/>
    </xf>
    <xf numFmtId="165" fontId="3" fillId="8" borderId="24" xfId="0" applyNumberFormat="1" applyFont="1" applyFill="1" applyBorder="1" applyAlignment="1" applyProtection="1">
      <alignment horizontal="right" vertical="center" indent="2"/>
      <protection hidden="1"/>
    </xf>
    <xf numFmtId="165" fontId="12" fillId="17" borderId="24" xfId="0" applyNumberFormat="1" applyFont="1" applyFill="1" applyBorder="1" applyAlignment="1" applyProtection="1">
      <alignment horizontal="right" vertical="center" indent="2"/>
      <protection hidden="1"/>
    </xf>
    <xf numFmtId="167" fontId="3" fillId="8" borderId="34" xfId="1" applyNumberFormat="1" applyFont="1" applyFill="1" applyBorder="1" applyAlignment="1" applyProtection="1">
      <alignment horizontal="center" vertical="center"/>
      <protection hidden="1"/>
    </xf>
    <xf numFmtId="0" fontId="3" fillId="4" borderId="8" xfId="0" applyFont="1" applyFill="1" applyBorder="1" applyAlignment="1" applyProtection="1">
      <alignment horizontal="left" vertical="center" indent="1"/>
      <protection hidden="1"/>
    </xf>
    <xf numFmtId="0" fontId="3" fillId="4" borderId="1" xfId="0" applyFont="1" applyFill="1" applyBorder="1" applyAlignment="1" applyProtection="1">
      <alignment horizontal="left" vertical="center" indent="1"/>
      <protection hidden="1"/>
    </xf>
    <xf numFmtId="0" fontId="3" fillId="4" borderId="44" xfId="0" applyFont="1" applyFill="1" applyBorder="1" applyAlignment="1" applyProtection="1">
      <alignment horizontal="left" vertical="center" indent="1"/>
      <protection hidden="1"/>
    </xf>
    <xf numFmtId="165" fontId="9" fillId="4" borderId="8" xfId="0" applyNumberFormat="1" applyFont="1" applyFill="1" applyBorder="1" applyAlignment="1" applyProtection="1">
      <alignment horizontal="right" indent="1"/>
      <protection hidden="1"/>
    </xf>
    <xf numFmtId="165" fontId="3" fillId="4" borderId="8" xfId="0" applyNumberFormat="1" applyFont="1" applyFill="1" applyBorder="1" applyAlignment="1" applyProtection="1">
      <alignment horizontal="right" indent="1"/>
      <protection hidden="1"/>
    </xf>
    <xf numFmtId="165" fontId="9" fillId="4" borderId="1" xfId="0" applyNumberFormat="1" applyFont="1" applyFill="1" applyBorder="1" applyAlignment="1" applyProtection="1">
      <alignment horizontal="right" indent="1"/>
      <protection hidden="1"/>
    </xf>
    <xf numFmtId="165" fontId="3" fillId="4" borderId="1" xfId="0" applyNumberFormat="1" applyFont="1" applyFill="1" applyBorder="1" applyAlignment="1" applyProtection="1">
      <alignment horizontal="right" indent="1"/>
      <protection hidden="1"/>
    </xf>
    <xf numFmtId="165" fontId="9" fillId="4" borderId="44" xfId="0" applyNumberFormat="1" applyFont="1" applyFill="1" applyBorder="1" applyAlignment="1" applyProtection="1">
      <alignment horizontal="right" indent="1"/>
      <protection hidden="1"/>
    </xf>
    <xf numFmtId="165" fontId="3" fillId="4" borderId="44" xfId="0" applyNumberFormat="1" applyFont="1" applyFill="1" applyBorder="1" applyAlignment="1" applyProtection="1">
      <alignment horizontal="right" indent="1"/>
      <protection hidden="1"/>
    </xf>
    <xf numFmtId="0" fontId="3" fillId="4" borderId="3" xfId="0" applyFont="1" applyFill="1" applyBorder="1" applyAlignment="1" applyProtection="1">
      <alignment horizontal="left" vertical="center" indent="1"/>
      <protection hidden="1"/>
    </xf>
    <xf numFmtId="3" fontId="3" fillId="7" borderId="3" xfId="0" applyNumberFormat="1" applyFont="1" applyFill="1" applyBorder="1" applyAlignment="1" applyProtection="1">
      <alignment horizontal="center" vertical="center"/>
      <protection hidden="1"/>
    </xf>
    <xf numFmtId="165" fontId="9" fillId="4" borderId="3" xfId="0" applyNumberFormat="1" applyFont="1" applyFill="1" applyBorder="1" applyAlignment="1" applyProtection="1">
      <alignment horizontal="right" indent="1"/>
      <protection hidden="1"/>
    </xf>
    <xf numFmtId="165" fontId="3" fillId="4" borderId="3" xfId="0" applyNumberFormat="1" applyFont="1" applyFill="1" applyBorder="1" applyAlignment="1" applyProtection="1">
      <alignment horizontal="right" indent="1"/>
      <protection hidden="1"/>
    </xf>
    <xf numFmtId="0" fontId="32" fillId="4" borderId="8" xfId="0" applyFont="1" applyFill="1" applyBorder="1" applyAlignment="1" applyProtection="1">
      <alignment horizontal="left" vertical="center" indent="1"/>
      <protection hidden="1"/>
    </xf>
    <xf numFmtId="0" fontId="32" fillId="4" borderId="1" xfId="0" applyFont="1" applyFill="1" applyBorder="1" applyAlignment="1" applyProtection="1">
      <alignment horizontal="left" vertical="center" indent="1"/>
      <protection hidden="1"/>
    </xf>
    <xf numFmtId="165" fontId="32" fillId="4" borderId="8" xfId="0" applyNumberFormat="1" applyFont="1" applyFill="1" applyBorder="1" applyAlignment="1" applyProtection="1">
      <alignment horizontal="left" indent="1"/>
      <protection hidden="1"/>
    </xf>
    <xf numFmtId="165" fontId="3" fillId="4" borderId="58" xfId="0" applyNumberFormat="1" applyFont="1" applyFill="1" applyBorder="1" applyAlignment="1" applyProtection="1">
      <alignment horizontal="right" indent="1"/>
      <protection hidden="1"/>
    </xf>
    <xf numFmtId="165" fontId="3" fillId="4" borderId="60" xfId="0" applyNumberFormat="1" applyFont="1" applyFill="1" applyBorder="1" applyAlignment="1" applyProtection="1">
      <alignment horizontal="right" indent="1"/>
      <protection hidden="1"/>
    </xf>
    <xf numFmtId="165" fontId="3" fillId="4" borderId="62" xfId="0" applyNumberFormat="1" applyFont="1" applyFill="1" applyBorder="1" applyAlignment="1" applyProtection="1">
      <alignment horizontal="right" indent="1"/>
      <protection hidden="1"/>
    </xf>
    <xf numFmtId="165" fontId="3" fillId="4" borderId="63" xfId="0" applyNumberFormat="1" applyFont="1" applyFill="1" applyBorder="1" applyAlignment="1" applyProtection="1">
      <alignment horizontal="right" indent="1"/>
      <protection hidden="1"/>
    </xf>
    <xf numFmtId="0" fontId="3" fillId="4" borderId="64" xfId="0" applyFont="1" applyFill="1" applyBorder="1" applyAlignment="1" applyProtection="1">
      <alignment horizontal="left" vertical="center" indent="3"/>
      <protection hidden="1"/>
    </xf>
    <xf numFmtId="0" fontId="3" fillId="4" borderId="55" xfId="0" applyFont="1" applyFill="1" applyBorder="1" applyAlignment="1" applyProtection="1">
      <alignment horizontal="left" vertical="center" indent="3"/>
      <protection hidden="1"/>
    </xf>
    <xf numFmtId="0" fontId="3" fillId="4" borderId="56" xfId="0" applyFont="1" applyFill="1" applyBorder="1" applyAlignment="1" applyProtection="1">
      <alignment horizontal="left" vertical="center" indent="3"/>
      <protection hidden="1"/>
    </xf>
    <xf numFmtId="0" fontId="32" fillId="4" borderId="31" xfId="0" applyFont="1" applyFill="1" applyBorder="1" applyAlignment="1" applyProtection="1">
      <alignment horizontal="left" vertical="center" indent="1"/>
      <protection hidden="1"/>
    </xf>
    <xf numFmtId="3" fontId="3" fillId="7" borderId="31" xfId="0" applyNumberFormat="1" applyFont="1" applyFill="1" applyBorder="1" applyAlignment="1" applyProtection="1">
      <alignment horizontal="center" vertical="center"/>
      <protection hidden="1"/>
    </xf>
    <xf numFmtId="165" fontId="9" fillId="4" borderId="31" xfId="0" applyNumberFormat="1" applyFont="1" applyFill="1" applyBorder="1" applyAlignment="1" applyProtection="1">
      <alignment horizontal="right" indent="1"/>
      <protection hidden="1"/>
    </xf>
    <xf numFmtId="165" fontId="32" fillId="4" borderId="65" xfId="0" applyNumberFormat="1" applyFont="1" applyFill="1" applyBorder="1" applyAlignment="1" applyProtection="1">
      <alignment horizontal="left" indent="1"/>
      <protection hidden="1"/>
    </xf>
    <xf numFmtId="165" fontId="3" fillId="4" borderId="31" xfId="0" applyNumberFormat="1" applyFont="1" applyFill="1" applyBorder="1" applyAlignment="1" applyProtection="1">
      <alignment horizontal="right" indent="1"/>
      <protection hidden="1"/>
    </xf>
    <xf numFmtId="165" fontId="3" fillId="4" borderId="66" xfId="0" applyNumberFormat="1" applyFont="1" applyFill="1" applyBorder="1" applyAlignment="1" applyProtection="1">
      <alignment horizontal="right" indent="1"/>
      <protection hidden="1"/>
    </xf>
    <xf numFmtId="165" fontId="3" fillId="4" borderId="14" xfId="0" applyNumberFormat="1" applyFont="1" applyFill="1" applyBorder="1" applyAlignment="1" applyProtection="1">
      <alignment horizontal="right" vertical="center" indent="1"/>
      <protection hidden="1"/>
    </xf>
    <xf numFmtId="165" fontId="3" fillId="4" borderId="0" xfId="0" applyNumberFormat="1" applyFont="1" applyFill="1" applyBorder="1" applyAlignment="1" applyProtection="1">
      <alignment horizontal="right" vertical="center" indent="1"/>
      <protection hidden="1"/>
    </xf>
    <xf numFmtId="0" fontId="13" fillId="7" borderId="0" xfId="0" applyFont="1" applyFill="1" applyAlignment="1" applyProtection="1">
      <alignment vertical="top"/>
      <protection hidden="1"/>
    </xf>
    <xf numFmtId="165" fontId="3" fillId="4" borderId="70" xfId="0" applyNumberFormat="1" applyFont="1" applyFill="1" applyBorder="1" applyAlignment="1" applyProtection="1">
      <alignment horizontal="right" indent="1"/>
      <protection hidden="1"/>
    </xf>
    <xf numFmtId="165" fontId="3" fillId="4" borderId="68" xfId="0" applyNumberFormat="1" applyFont="1" applyFill="1" applyBorder="1" applyAlignment="1" applyProtection="1">
      <alignment horizontal="right" indent="1"/>
      <protection hidden="1"/>
    </xf>
    <xf numFmtId="165" fontId="3" fillId="4" borderId="71" xfId="0" applyNumberFormat="1" applyFont="1" applyFill="1" applyBorder="1" applyAlignment="1" applyProtection="1">
      <alignment horizontal="right" indent="1"/>
      <protection hidden="1"/>
    </xf>
    <xf numFmtId="165" fontId="3" fillId="4" borderId="72" xfId="0" applyNumberFormat="1" applyFont="1" applyFill="1" applyBorder="1" applyAlignment="1" applyProtection="1">
      <alignment horizontal="right" indent="1"/>
      <protection hidden="1"/>
    </xf>
    <xf numFmtId="165" fontId="3" fillId="4" borderId="69" xfId="0" applyNumberFormat="1" applyFont="1" applyFill="1" applyBorder="1" applyAlignment="1" applyProtection="1">
      <alignment horizontal="right" indent="1"/>
      <protection hidden="1"/>
    </xf>
    <xf numFmtId="165" fontId="3" fillId="8" borderId="33" xfId="0" applyNumberFormat="1" applyFont="1" applyFill="1" applyBorder="1" applyAlignment="1" applyProtection="1">
      <alignment horizontal="center" vertical="center"/>
      <protection hidden="1"/>
    </xf>
    <xf numFmtId="0" fontId="34" fillId="17" borderId="18" xfId="0" applyFont="1" applyFill="1" applyBorder="1" applyAlignment="1" applyProtection="1">
      <alignment horizontal="left" vertical="center" indent="3"/>
      <protection hidden="1"/>
    </xf>
    <xf numFmtId="0" fontId="3" fillId="17" borderId="0" xfId="0" applyFont="1" applyFill="1" applyBorder="1" applyAlignment="1" applyProtection="1">
      <alignment horizontal="left" vertical="center" indent="1"/>
      <protection hidden="1"/>
    </xf>
    <xf numFmtId="3" fontId="3" fillId="17" borderId="0" xfId="0" applyNumberFormat="1" applyFont="1" applyFill="1" applyBorder="1" applyAlignment="1" applyProtection="1">
      <alignment horizontal="center" vertical="center"/>
      <protection hidden="1"/>
    </xf>
    <xf numFmtId="165" fontId="9" fillId="17" borderId="0" xfId="0" applyNumberFormat="1" applyFont="1" applyFill="1" applyBorder="1" applyAlignment="1" applyProtection="1">
      <alignment horizontal="right" indent="1"/>
      <protection hidden="1"/>
    </xf>
    <xf numFmtId="165" fontId="3" fillId="17" borderId="0" xfId="0" applyNumberFormat="1" applyFont="1" applyFill="1" applyBorder="1" applyAlignment="1" applyProtection="1">
      <alignment horizontal="right" indent="1"/>
      <protection hidden="1"/>
    </xf>
    <xf numFmtId="165" fontId="3" fillId="17" borderId="19" xfId="0" applyNumberFormat="1" applyFont="1" applyFill="1" applyBorder="1" applyAlignment="1" applyProtection="1">
      <alignment horizontal="right" indent="1"/>
      <protection hidden="1"/>
    </xf>
    <xf numFmtId="165" fontId="6" fillId="5" borderId="6" xfId="0" applyNumberFormat="1" applyFont="1" applyFill="1" applyBorder="1" applyAlignment="1" applyProtection="1">
      <alignment horizontal="center" vertical="center" wrapText="1"/>
      <protection hidden="1"/>
    </xf>
    <xf numFmtId="0" fontId="3" fillId="12" borderId="5" xfId="0" applyFont="1" applyFill="1" applyBorder="1" applyAlignment="1" applyProtection="1">
      <alignment horizontal="left" vertical="center" wrapText="1" indent="1"/>
      <protection locked="0"/>
    </xf>
    <xf numFmtId="14" fontId="3" fillId="12" borderId="5" xfId="0" applyNumberFormat="1" applyFont="1" applyFill="1" applyBorder="1" applyAlignment="1" applyProtection="1">
      <alignment horizontal="left" vertical="center" wrapText="1" indent="1"/>
      <protection locked="0"/>
    </xf>
    <xf numFmtId="0" fontId="6" fillId="4" borderId="83" xfId="0" applyFont="1" applyFill="1" applyBorder="1" applyAlignment="1" applyProtection="1">
      <alignment vertical="center" wrapText="1"/>
      <protection hidden="1"/>
    </xf>
    <xf numFmtId="0" fontId="6" fillId="4" borderId="84" xfId="0" applyFont="1" applyFill="1" applyBorder="1" applyAlignment="1" applyProtection="1">
      <alignment vertical="center" wrapText="1"/>
      <protection hidden="1"/>
    </xf>
    <xf numFmtId="0" fontId="6" fillId="4" borderId="85" xfId="0" applyFont="1" applyFill="1" applyBorder="1" applyAlignment="1" applyProtection="1">
      <alignment vertical="center" wrapText="1"/>
      <protection hidden="1"/>
    </xf>
    <xf numFmtId="0" fontId="6" fillId="3" borderId="86" xfId="0" applyFont="1" applyFill="1" applyBorder="1" applyAlignment="1" applyProtection="1">
      <alignment vertical="center" wrapText="1"/>
      <protection hidden="1"/>
    </xf>
    <xf numFmtId="0" fontId="6" fillId="3" borderId="87" xfId="0" applyFont="1" applyFill="1" applyBorder="1" applyAlignment="1" applyProtection="1">
      <alignment vertical="center" wrapText="1"/>
      <protection hidden="1"/>
    </xf>
    <xf numFmtId="0" fontId="16" fillId="0" borderId="0" xfId="0" applyFont="1" applyProtection="1">
      <protection hidden="1"/>
    </xf>
    <xf numFmtId="0" fontId="0" fillId="0" borderId="0" xfId="0" applyAlignment="1" applyProtection="1">
      <alignment horizontal="center"/>
      <protection hidden="1"/>
    </xf>
    <xf numFmtId="165" fontId="3" fillId="3" borderId="0" xfId="0" applyNumberFormat="1" applyFont="1" applyFill="1" applyAlignment="1" applyProtection="1">
      <alignment horizontal="centerContinuous"/>
      <protection hidden="1"/>
    </xf>
    <xf numFmtId="164" fontId="3" fillId="3" borderId="0" xfId="0" applyNumberFormat="1" applyFont="1" applyFill="1" applyAlignment="1" applyProtection="1">
      <alignment horizontal="centerContinuous"/>
      <protection hidden="1"/>
    </xf>
    <xf numFmtId="165" fontId="16" fillId="3" borderId="0" xfId="0" applyNumberFormat="1" applyFont="1" applyFill="1" applyAlignment="1" applyProtection="1">
      <alignment horizontal="centerContinuous" vertical="center"/>
      <protection hidden="1"/>
    </xf>
    <xf numFmtId="0" fontId="25" fillId="3" borderId="95" xfId="0" applyFont="1" applyFill="1" applyBorder="1" applyAlignment="1" applyProtection="1">
      <alignment horizontal="center" vertical="center"/>
      <protection hidden="1"/>
    </xf>
    <xf numFmtId="0" fontId="25" fillId="3" borderId="96" xfId="0" applyFont="1" applyFill="1" applyBorder="1" applyAlignment="1" applyProtection="1">
      <alignment vertical="center"/>
      <protection hidden="1"/>
    </xf>
    <xf numFmtId="0" fontId="25" fillId="3" borderId="97" xfId="0" applyFont="1" applyFill="1" applyBorder="1" applyProtection="1">
      <protection hidden="1"/>
    </xf>
    <xf numFmtId="0" fontId="25" fillId="3" borderId="96" xfId="0" applyFont="1" applyFill="1" applyBorder="1" applyProtection="1">
      <protection hidden="1"/>
    </xf>
    <xf numFmtId="0" fontId="25" fillId="3" borderId="95" xfId="0" applyFont="1" applyFill="1" applyBorder="1" applyAlignment="1" applyProtection="1">
      <alignment vertical="center" wrapText="1"/>
      <protection hidden="1"/>
    </xf>
    <xf numFmtId="9" fontId="16" fillId="10" borderId="34" xfId="1" applyFont="1" applyFill="1" applyBorder="1" applyAlignment="1" applyProtection="1">
      <alignment horizontal="center" vertical="center" wrapText="1"/>
      <protection hidden="1"/>
    </xf>
    <xf numFmtId="165" fontId="11" fillId="3" borderId="5" xfId="0" applyNumberFormat="1" applyFont="1" applyFill="1" applyBorder="1" applyAlignment="1" applyProtection="1">
      <alignment horizontal="center" vertical="center"/>
      <protection hidden="1"/>
    </xf>
    <xf numFmtId="0" fontId="25" fillId="3" borderId="95" xfId="0" applyFont="1" applyFill="1" applyBorder="1" applyProtection="1">
      <protection hidden="1"/>
    </xf>
    <xf numFmtId="0" fontId="3" fillId="5" borderId="100" xfId="0" applyFont="1" applyFill="1" applyBorder="1" applyAlignment="1">
      <alignment vertical="center"/>
    </xf>
    <xf numFmtId="165" fontId="3" fillId="0" borderId="5" xfId="0" applyNumberFormat="1" applyFont="1" applyBorder="1" applyAlignment="1" applyProtection="1">
      <alignment horizontal="center" vertical="center"/>
      <protection hidden="1"/>
    </xf>
    <xf numFmtId="8" fontId="3" fillId="0" borderId="5" xfId="0" applyNumberFormat="1" applyFont="1" applyBorder="1" applyAlignment="1">
      <alignment horizontal="center" vertical="center"/>
    </xf>
    <xf numFmtId="0" fontId="3" fillId="5" borderId="40" xfId="0" applyFont="1" applyFill="1" applyBorder="1" applyAlignment="1">
      <alignment vertical="center"/>
    </xf>
    <xf numFmtId="1" fontId="3" fillId="5" borderId="40" xfId="0" applyNumberFormat="1" applyFont="1" applyFill="1" applyBorder="1" applyAlignment="1" applyProtection="1">
      <alignment horizontal="right" vertical="center"/>
      <protection hidden="1"/>
    </xf>
    <xf numFmtId="165" fontId="3" fillId="5" borderId="40" xfId="0" applyNumberFormat="1" applyFont="1" applyFill="1" applyBorder="1" applyAlignment="1">
      <alignment vertical="center"/>
    </xf>
    <xf numFmtId="165" fontId="3" fillId="5" borderId="40" xfId="0" applyNumberFormat="1" applyFont="1" applyFill="1" applyBorder="1" applyAlignment="1" applyProtection="1">
      <alignment horizontal="center" vertical="center"/>
      <protection hidden="1"/>
    </xf>
    <xf numFmtId="165" fontId="3" fillId="5" borderId="41" xfId="0" applyNumberFormat="1" applyFont="1" applyFill="1" applyBorder="1" applyAlignment="1" applyProtection="1">
      <alignment horizontal="center" vertical="center"/>
      <protection hidden="1"/>
    </xf>
    <xf numFmtId="0" fontId="3" fillId="4" borderId="5" xfId="0" applyFont="1" applyFill="1" applyBorder="1" applyAlignment="1" applyProtection="1">
      <alignment horizontal="left" vertical="center" indent="2"/>
      <protection hidden="1"/>
    </xf>
    <xf numFmtId="0" fontId="3" fillId="4" borderId="5" xfId="0" applyFont="1" applyFill="1" applyBorder="1" applyAlignment="1" applyProtection="1">
      <alignment horizontal="center" vertical="center"/>
      <protection hidden="1"/>
    </xf>
    <xf numFmtId="1" fontId="3" fillId="9" borderId="5" xfId="0" applyNumberFormat="1" applyFont="1" applyFill="1" applyBorder="1" applyAlignment="1" applyProtection="1">
      <alignment horizontal="center" vertical="center"/>
      <protection locked="0"/>
    </xf>
    <xf numFmtId="165" fontId="3" fillId="4" borderId="5" xfId="0" applyNumberFormat="1" applyFont="1" applyFill="1" applyBorder="1" applyAlignment="1" applyProtection="1">
      <alignment horizontal="center" vertical="center"/>
      <protection hidden="1"/>
    </xf>
    <xf numFmtId="166" fontId="3" fillId="4" borderId="5" xfId="0" applyNumberFormat="1" applyFont="1" applyFill="1" applyBorder="1" applyAlignment="1" applyProtection="1">
      <alignment horizontal="center" vertical="center"/>
      <protection hidden="1"/>
    </xf>
    <xf numFmtId="165" fontId="31" fillId="4" borderId="5" xfId="0" applyNumberFormat="1" applyFont="1" applyFill="1" applyBorder="1" applyAlignment="1" applyProtection="1">
      <alignment horizontal="center" vertical="center"/>
      <protection hidden="1"/>
    </xf>
    <xf numFmtId="165" fontId="31" fillId="0" borderId="5" xfId="0" applyNumberFormat="1" applyFont="1" applyBorder="1" applyAlignment="1" applyProtection="1">
      <alignment horizontal="center" vertical="center"/>
      <protection hidden="1"/>
    </xf>
    <xf numFmtId="4" fontId="3" fillId="3" borderId="0" xfId="0" applyNumberFormat="1" applyFont="1" applyFill="1" applyProtection="1">
      <protection hidden="1"/>
    </xf>
    <xf numFmtId="0" fontId="25" fillId="3" borderId="49" xfId="0" applyFont="1" applyFill="1" applyBorder="1" applyAlignment="1" applyProtection="1">
      <alignment horizontal="left" indent="1"/>
      <protection hidden="1"/>
    </xf>
    <xf numFmtId="165" fontId="3" fillId="0" borderId="45" xfId="0" applyNumberFormat="1" applyFont="1" applyBorder="1" applyAlignment="1" applyProtection="1">
      <alignment horizontal="center" vertical="center"/>
      <protection hidden="1"/>
    </xf>
    <xf numFmtId="0" fontId="25" fillId="3" borderId="98" xfId="0" applyFont="1" applyFill="1" applyBorder="1" applyAlignment="1" applyProtection="1">
      <alignment horizontal="left" indent="1"/>
      <protection hidden="1"/>
    </xf>
    <xf numFmtId="0" fontId="3" fillId="4" borderId="34" xfId="0" applyFont="1" applyFill="1" applyBorder="1" applyAlignment="1" applyProtection="1">
      <alignment horizontal="left" vertical="center" indent="2"/>
      <protection hidden="1"/>
    </xf>
    <xf numFmtId="8" fontId="3" fillId="0" borderId="34" xfId="0" applyNumberFormat="1" applyFont="1" applyBorder="1" applyAlignment="1">
      <alignment horizontal="center" vertical="center"/>
    </xf>
    <xf numFmtId="1" fontId="3" fillId="9" borderId="34" xfId="0" applyNumberFormat="1" applyFont="1" applyFill="1" applyBorder="1" applyAlignment="1" applyProtection="1">
      <alignment horizontal="center" vertical="center"/>
      <protection locked="0"/>
    </xf>
    <xf numFmtId="165" fontId="3" fillId="0" borderId="34" xfId="0" applyNumberFormat="1" applyFont="1" applyBorder="1" applyAlignment="1" applyProtection="1">
      <alignment horizontal="center" vertical="center"/>
      <protection hidden="1"/>
    </xf>
    <xf numFmtId="165" fontId="3" fillId="0" borderId="99" xfId="0" applyNumberFormat="1" applyFont="1" applyBorder="1" applyAlignment="1" applyProtection="1">
      <alignment horizontal="center" vertical="center"/>
      <protection hidden="1"/>
    </xf>
    <xf numFmtId="0" fontId="25" fillId="3" borderId="96" xfId="0" applyFont="1" applyFill="1" applyBorder="1" applyAlignment="1" applyProtection="1">
      <alignment horizontal="left" indent="1"/>
      <protection hidden="1"/>
    </xf>
    <xf numFmtId="0" fontId="3" fillId="4" borderId="14" xfId="0" applyFont="1" applyFill="1" applyBorder="1" applyAlignment="1" applyProtection="1">
      <alignment horizontal="left" vertical="center" indent="2"/>
      <protection hidden="1"/>
    </xf>
    <xf numFmtId="165" fontId="3" fillId="0" borderId="14" xfId="0" applyNumberFormat="1" applyFont="1" applyBorder="1" applyAlignment="1" applyProtection="1">
      <alignment horizontal="center" vertical="center"/>
      <protection hidden="1"/>
    </xf>
    <xf numFmtId="1" fontId="3" fillId="9" borderId="14" xfId="0" applyNumberFormat="1" applyFont="1" applyFill="1" applyBorder="1" applyAlignment="1" applyProtection="1">
      <alignment horizontal="center" vertical="center"/>
      <protection locked="0"/>
    </xf>
    <xf numFmtId="165" fontId="3" fillId="0" borderId="102" xfId="0" applyNumberFormat="1" applyFont="1" applyBorder="1" applyAlignment="1" applyProtection="1">
      <alignment horizontal="center" vertical="center"/>
      <protection hidden="1"/>
    </xf>
    <xf numFmtId="164" fontId="5" fillId="10" borderId="103" xfId="0" applyNumberFormat="1" applyFont="1" applyFill="1" applyBorder="1" applyAlignment="1">
      <alignment horizontal="center" vertical="center" wrapText="1"/>
    </xf>
    <xf numFmtId="0" fontId="5" fillId="5" borderId="104" xfId="0" applyFont="1" applyFill="1" applyBorder="1" applyAlignment="1">
      <alignment horizontal="center" vertical="center"/>
    </xf>
    <xf numFmtId="1" fontId="5" fillId="5" borderId="104" xfId="0" applyNumberFormat="1" applyFont="1" applyFill="1" applyBorder="1" applyAlignment="1">
      <alignment horizontal="center" vertical="center" wrapText="1"/>
    </xf>
    <xf numFmtId="1" fontId="5" fillId="5" borderId="104" xfId="0" applyNumberFormat="1" applyFont="1" applyFill="1" applyBorder="1" applyAlignment="1">
      <alignment horizontal="center" vertical="center"/>
    </xf>
    <xf numFmtId="1" fontId="5" fillId="5" borderId="105" xfId="0" applyNumberFormat="1" applyFont="1" applyFill="1" applyBorder="1" applyAlignment="1">
      <alignment horizontal="center" vertical="center" wrapText="1"/>
    </xf>
    <xf numFmtId="4" fontId="26" fillId="3" borderId="0" xfId="0" applyNumberFormat="1" applyFont="1" applyFill="1" applyProtection="1">
      <protection hidden="1"/>
    </xf>
    <xf numFmtId="0" fontId="24" fillId="3" borderId="0" xfId="0" applyFont="1" applyFill="1" applyBorder="1" applyAlignment="1" applyProtection="1">
      <alignment vertical="center" wrapText="1"/>
      <protection hidden="1"/>
    </xf>
    <xf numFmtId="165" fontId="15" fillId="7" borderId="89" xfId="0" applyNumberFormat="1" applyFont="1" applyFill="1" applyBorder="1" applyAlignment="1" applyProtection="1">
      <alignment horizontal="centerContinuous" vertical="center"/>
      <protection hidden="1"/>
    </xf>
    <xf numFmtId="165" fontId="5" fillId="5" borderId="5" xfId="0" applyNumberFormat="1" applyFont="1" applyFill="1" applyBorder="1" applyAlignment="1" applyProtection="1">
      <alignment horizontal="center" vertical="center" wrapText="1"/>
      <protection hidden="1"/>
    </xf>
    <xf numFmtId="165" fontId="6" fillId="5" borderId="7" xfId="0" applyNumberFormat="1" applyFont="1" applyFill="1" applyBorder="1" applyAlignment="1" applyProtection="1">
      <alignment horizontal="center" vertical="center" wrapText="1"/>
      <protection hidden="1"/>
    </xf>
    <xf numFmtId="10" fontId="6" fillId="5" borderId="7" xfId="0" applyNumberFormat="1" applyFont="1" applyFill="1" applyBorder="1" applyAlignment="1" applyProtection="1">
      <alignment horizontal="center" vertical="center" wrapText="1"/>
      <protection hidden="1"/>
    </xf>
    <xf numFmtId="10" fontId="35" fillId="5" borderId="90" xfId="0" applyNumberFormat="1" applyFont="1" applyFill="1" applyBorder="1" applyAlignment="1" applyProtection="1">
      <alignment horizontal="center" vertical="center" wrapText="1"/>
      <protection hidden="1"/>
    </xf>
    <xf numFmtId="1" fontId="3" fillId="3" borderId="5" xfId="0" applyNumberFormat="1" applyFont="1" applyFill="1" applyBorder="1" applyAlignment="1" applyProtection="1">
      <alignment horizontal="center" vertical="center"/>
      <protection hidden="1"/>
    </xf>
    <xf numFmtId="9" fontId="3" fillId="7" borderId="5" xfId="1" applyFont="1" applyFill="1" applyBorder="1" applyAlignment="1" applyProtection="1">
      <alignment horizontal="center" vertical="center" wrapText="1"/>
      <protection hidden="1"/>
    </xf>
    <xf numFmtId="168" fontId="3" fillId="3" borderId="5" xfId="0" applyNumberFormat="1" applyFont="1" applyFill="1" applyBorder="1" applyAlignment="1" applyProtection="1">
      <alignment horizontal="center" vertical="center"/>
      <protection hidden="1"/>
    </xf>
    <xf numFmtId="9" fontId="3" fillId="3" borderId="5" xfId="1" applyFont="1" applyFill="1" applyBorder="1" applyAlignment="1" applyProtection="1">
      <alignment horizontal="center" vertical="center"/>
      <protection hidden="1"/>
    </xf>
    <xf numFmtId="9" fontId="3" fillId="3" borderId="5" xfId="0" applyNumberFormat="1" applyFont="1" applyFill="1" applyBorder="1" applyAlignment="1" applyProtection="1">
      <alignment horizontal="center" vertical="center"/>
      <protection hidden="1"/>
    </xf>
    <xf numFmtId="9" fontId="3" fillId="7" borderId="5" xfId="1" applyFont="1" applyFill="1" applyBorder="1" applyAlignment="1" applyProtection="1">
      <alignment horizontal="center" vertical="center"/>
      <protection hidden="1"/>
    </xf>
    <xf numFmtId="165" fontId="12" fillId="3" borderId="0" xfId="0" applyNumberFormat="1" applyFont="1" applyFill="1" applyProtection="1">
      <protection hidden="1"/>
    </xf>
    <xf numFmtId="0" fontId="3" fillId="4" borderId="14" xfId="0" applyFont="1" applyFill="1" applyBorder="1" applyAlignment="1" applyProtection="1">
      <alignment horizontal="center" vertical="center"/>
      <protection hidden="1"/>
    </xf>
    <xf numFmtId="165" fontId="3" fillId="3" borderId="14" xfId="0" applyNumberFormat="1" applyFont="1" applyFill="1" applyBorder="1" applyAlignment="1" applyProtection="1">
      <alignment horizontal="center" vertical="center"/>
      <protection hidden="1"/>
    </xf>
    <xf numFmtId="165" fontId="3" fillId="4" borderId="14" xfId="0" applyNumberFormat="1" applyFont="1" applyFill="1" applyBorder="1" applyAlignment="1" applyProtection="1">
      <alignment horizontal="center" vertical="center"/>
      <protection hidden="1"/>
    </xf>
    <xf numFmtId="166" fontId="3" fillId="4" borderId="14" xfId="0" applyNumberFormat="1" applyFont="1" applyFill="1" applyBorder="1" applyAlignment="1" applyProtection="1">
      <alignment horizontal="center" vertical="center"/>
      <protection hidden="1"/>
    </xf>
    <xf numFmtId="165" fontId="38" fillId="3" borderId="0" xfId="0" applyNumberFormat="1" applyFont="1" applyFill="1" applyAlignment="1" applyProtection="1">
      <alignment horizontal="left" vertical="center" indent="1"/>
      <protection hidden="1"/>
    </xf>
    <xf numFmtId="165" fontId="3" fillId="12" borderId="5" xfId="0" applyNumberFormat="1" applyFont="1" applyFill="1" applyBorder="1" applyAlignment="1" applyProtection="1">
      <alignment horizontal="center" vertical="center"/>
      <protection locked="0"/>
    </xf>
    <xf numFmtId="4" fontId="0" fillId="0" borderId="0" xfId="0" applyNumberFormat="1" applyProtection="1">
      <protection hidden="1"/>
    </xf>
    <xf numFmtId="0" fontId="37" fillId="0" borderId="0" xfId="0" applyFont="1" applyBorder="1" applyAlignment="1" applyProtection="1">
      <alignment horizontal="left" vertical="top"/>
      <protection hidden="1"/>
    </xf>
    <xf numFmtId="165" fontId="3" fillId="0" borderId="43" xfId="0" applyNumberFormat="1" applyFont="1" applyBorder="1" applyAlignment="1" applyProtection="1">
      <alignment horizontal="center" vertical="center"/>
      <protection hidden="1"/>
    </xf>
    <xf numFmtId="0" fontId="16" fillId="5" borderId="36" xfId="0" applyFont="1" applyFill="1" applyBorder="1" applyAlignment="1" applyProtection="1">
      <alignment horizontal="center" vertical="center"/>
      <protection hidden="1"/>
    </xf>
    <xf numFmtId="0" fontId="16" fillId="5" borderId="1" xfId="0" applyFont="1" applyFill="1" applyBorder="1" applyAlignment="1" applyProtection="1">
      <alignment horizontal="center" vertical="center" wrapText="1"/>
      <protection hidden="1"/>
    </xf>
    <xf numFmtId="0" fontId="16" fillId="5" borderId="3" xfId="0" applyFont="1" applyFill="1" applyBorder="1" applyAlignment="1" applyProtection="1">
      <alignment horizontal="center" vertical="center" wrapText="1"/>
      <protection hidden="1"/>
    </xf>
    <xf numFmtId="0" fontId="16" fillId="5" borderId="37" xfId="0" applyFont="1" applyFill="1" applyBorder="1" applyAlignment="1" applyProtection="1">
      <alignment horizontal="center" vertical="center"/>
      <protection hidden="1"/>
    </xf>
    <xf numFmtId="0" fontId="16" fillId="5" borderId="39" xfId="0" applyFont="1" applyFill="1" applyBorder="1" applyAlignment="1" applyProtection="1">
      <alignment horizontal="center" vertical="center" wrapText="1"/>
      <protection hidden="1"/>
    </xf>
    <xf numFmtId="0" fontId="16" fillId="5" borderId="48" xfId="0" applyFont="1" applyFill="1" applyBorder="1" applyAlignment="1" applyProtection="1">
      <alignment horizontal="center" vertical="center" wrapText="1"/>
      <protection hidden="1"/>
    </xf>
    <xf numFmtId="0" fontId="5" fillId="5" borderId="92"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center" vertical="center" wrapText="1"/>
      <protection hidden="1"/>
    </xf>
    <xf numFmtId="0" fontId="6" fillId="5" borderId="34" xfId="0" applyFont="1" applyFill="1" applyBorder="1" applyAlignment="1" applyProtection="1">
      <alignment horizontal="center" vertical="center" wrapText="1"/>
      <protection hidden="1"/>
    </xf>
    <xf numFmtId="0" fontId="3" fillId="3" borderId="45" xfId="0" applyFont="1" applyFill="1" applyBorder="1" applyAlignment="1" applyProtection="1">
      <alignment horizontal="center" vertical="center"/>
      <protection hidden="1"/>
    </xf>
    <xf numFmtId="0" fontId="5" fillId="5" borderId="79" xfId="0" applyFont="1" applyFill="1" applyBorder="1" applyAlignment="1" applyProtection="1">
      <alignment horizontal="center" vertical="center"/>
      <protection hidden="1"/>
    </xf>
    <xf numFmtId="0" fontId="5" fillId="5" borderId="0" xfId="0" applyFont="1" applyFill="1" applyBorder="1" applyAlignment="1" applyProtection="1">
      <alignment horizontal="center" vertical="center"/>
      <protection hidden="1"/>
    </xf>
    <xf numFmtId="0" fontId="5" fillId="5" borderId="40" xfId="0" applyFont="1" applyFill="1" applyBorder="1" applyAlignment="1" applyProtection="1">
      <alignment horizontal="center" vertical="center"/>
      <protection hidden="1"/>
    </xf>
    <xf numFmtId="0" fontId="3" fillId="4" borderId="5" xfId="0" applyFont="1" applyFill="1" applyBorder="1" applyAlignment="1" applyProtection="1">
      <alignment horizontal="left" vertical="center" indent="2"/>
      <protection hidden="1"/>
    </xf>
    <xf numFmtId="0" fontId="3" fillId="4" borderId="14" xfId="0" applyFont="1" applyFill="1" applyBorder="1" applyAlignment="1" applyProtection="1">
      <alignment horizontal="left" vertical="center" indent="2"/>
      <protection hidden="1"/>
    </xf>
    <xf numFmtId="165" fontId="6" fillId="14" borderId="26" xfId="0" applyNumberFormat="1" applyFont="1" applyFill="1" applyBorder="1" applyAlignment="1" applyProtection="1">
      <alignment horizontal="right" vertical="center" indent="2"/>
      <protection hidden="1"/>
    </xf>
    <xf numFmtId="165" fontId="6" fillId="14" borderId="27" xfId="0" applyNumberFormat="1" applyFont="1" applyFill="1" applyBorder="1" applyAlignment="1" applyProtection="1">
      <alignment horizontal="right" vertical="center" indent="2"/>
      <protection hidden="1"/>
    </xf>
    <xf numFmtId="0" fontId="3" fillId="0" borderId="25" xfId="0" applyFont="1" applyBorder="1" applyAlignment="1" applyProtection="1">
      <alignment horizontal="left" vertical="center" indent="1"/>
      <protection hidden="1"/>
    </xf>
    <xf numFmtId="0" fontId="3" fillId="0" borderId="26" xfId="0" applyFont="1" applyBorder="1" applyAlignment="1" applyProtection="1">
      <alignment horizontal="left" vertical="center" indent="1"/>
      <protection hidden="1"/>
    </xf>
    <xf numFmtId="0" fontId="3" fillId="8" borderId="23" xfId="0" applyFont="1" applyFill="1" applyBorder="1" applyAlignment="1" applyProtection="1">
      <alignment horizontal="left" vertical="center" indent="3"/>
      <protection hidden="1"/>
    </xf>
    <xf numFmtId="0" fontId="3" fillId="8" borderId="5" xfId="0" applyFont="1" applyFill="1" applyBorder="1" applyAlignment="1" applyProtection="1">
      <alignment horizontal="left" vertical="center" indent="3"/>
      <protection hidden="1"/>
    </xf>
    <xf numFmtId="0" fontId="3" fillId="3" borderId="23" xfId="0" applyFont="1" applyFill="1" applyBorder="1" applyAlignment="1" applyProtection="1">
      <alignment horizontal="left" vertical="center" indent="5"/>
      <protection hidden="1"/>
    </xf>
    <xf numFmtId="0" fontId="3" fillId="3" borderId="5" xfId="0" applyFont="1" applyFill="1" applyBorder="1" applyAlignment="1" applyProtection="1">
      <alignment horizontal="left" vertical="center" indent="5"/>
      <protection hidden="1"/>
    </xf>
    <xf numFmtId="0" fontId="3" fillId="3" borderId="106" xfId="0" applyFont="1" applyFill="1" applyBorder="1" applyAlignment="1" applyProtection="1">
      <alignment horizontal="left" vertical="center" indent="5"/>
      <protection hidden="1"/>
    </xf>
    <xf numFmtId="0" fontId="3" fillId="3" borderId="90" xfId="0" applyFont="1" applyFill="1" applyBorder="1" applyAlignment="1" applyProtection="1">
      <alignment horizontal="left" vertical="center" indent="5"/>
      <protection hidden="1"/>
    </xf>
    <xf numFmtId="0" fontId="12" fillId="17" borderId="23" xfId="0" applyFont="1" applyFill="1" applyBorder="1" applyAlignment="1" applyProtection="1">
      <alignment horizontal="left" vertical="center" indent="3"/>
      <protection hidden="1"/>
    </xf>
    <xf numFmtId="0" fontId="12" fillId="17" borderId="5" xfId="0" applyFont="1" applyFill="1" applyBorder="1" applyAlignment="1" applyProtection="1">
      <alignment horizontal="left" vertical="center" indent="3"/>
      <protection hidden="1"/>
    </xf>
    <xf numFmtId="0" fontId="14" fillId="13" borderId="0" xfId="0" applyFont="1" applyFill="1" applyAlignment="1" applyProtection="1">
      <alignment horizontal="left" vertical="center" wrapText="1"/>
      <protection hidden="1"/>
    </xf>
    <xf numFmtId="164" fontId="5" fillId="10" borderId="91" xfId="0" applyNumberFormat="1" applyFont="1" applyFill="1" applyBorder="1" applyAlignment="1" applyProtection="1">
      <alignment horizontal="center" vertical="center" wrapText="1"/>
      <protection hidden="1"/>
    </xf>
    <xf numFmtId="164" fontId="6" fillId="10" borderId="49" xfId="0" applyNumberFormat="1" applyFont="1" applyFill="1" applyBorder="1" applyAlignment="1" applyProtection="1">
      <alignment horizontal="center" vertical="center" wrapText="1"/>
      <protection hidden="1"/>
    </xf>
    <xf numFmtId="164" fontId="6" fillId="10" borderId="98" xfId="0" applyNumberFormat="1" applyFont="1" applyFill="1" applyBorder="1" applyAlignment="1" applyProtection="1">
      <alignment horizontal="center" vertical="center" wrapText="1"/>
      <protection hidden="1"/>
    </xf>
    <xf numFmtId="1" fontId="5" fillId="5" borderId="92" xfId="0" applyNumberFormat="1" applyFont="1" applyFill="1" applyBorder="1" applyAlignment="1" applyProtection="1">
      <alignment horizontal="center" vertical="center"/>
      <protection hidden="1"/>
    </xf>
    <xf numFmtId="1" fontId="6" fillId="2" borderId="5" xfId="0" applyNumberFormat="1" applyFont="1" applyFill="1" applyBorder="1" applyAlignment="1" applyProtection="1">
      <alignment horizontal="center" vertical="center" wrapText="1"/>
      <protection hidden="1"/>
    </xf>
    <xf numFmtId="1" fontId="6" fillId="2" borderId="34" xfId="0" applyNumberFormat="1" applyFont="1" applyFill="1" applyBorder="1" applyAlignment="1" applyProtection="1">
      <alignment horizontal="center" vertical="center" wrapText="1"/>
      <protection hidden="1"/>
    </xf>
    <xf numFmtId="165" fontId="5" fillId="5" borderId="92" xfId="0" applyNumberFormat="1" applyFont="1" applyFill="1" applyBorder="1" applyAlignment="1" applyProtection="1">
      <alignment horizontal="center" vertical="center" wrapText="1"/>
      <protection hidden="1"/>
    </xf>
    <xf numFmtId="165" fontId="6" fillId="5" borderId="5" xfId="0" applyNumberFormat="1" applyFont="1" applyFill="1" applyBorder="1" applyAlignment="1" applyProtection="1">
      <alignment horizontal="center" vertical="center" wrapText="1"/>
      <protection hidden="1"/>
    </xf>
    <xf numFmtId="165" fontId="6" fillId="5" borderId="34" xfId="0" applyNumberFormat="1" applyFont="1" applyFill="1" applyBorder="1" applyAlignment="1" applyProtection="1">
      <alignment horizontal="center" vertical="center" wrapText="1"/>
      <protection hidden="1"/>
    </xf>
    <xf numFmtId="1" fontId="17" fillId="9" borderId="5" xfId="0" applyNumberFormat="1" applyFont="1" applyFill="1" applyBorder="1" applyAlignment="1" applyProtection="1">
      <alignment horizontal="center" vertical="center" wrapText="1"/>
      <protection locked="0"/>
    </xf>
    <xf numFmtId="0" fontId="16" fillId="5" borderId="35" xfId="0" applyFont="1" applyFill="1" applyBorder="1" applyAlignment="1" applyProtection="1">
      <alignment horizontal="center" vertical="center"/>
      <protection hidden="1"/>
    </xf>
    <xf numFmtId="0" fontId="16" fillId="5" borderId="38" xfId="0" applyFont="1" applyFill="1" applyBorder="1" applyAlignment="1" applyProtection="1">
      <alignment horizontal="center" vertical="center" wrapText="1"/>
      <protection hidden="1"/>
    </xf>
    <xf numFmtId="0" fontId="16" fillId="5" borderId="47" xfId="0" applyFont="1" applyFill="1" applyBorder="1" applyAlignment="1" applyProtection="1">
      <alignment horizontal="center" vertical="center" wrapText="1"/>
      <protection hidden="1"/>
    </xf>
    <xf numFmtId="165" fontId="5" fillId="5" borderId="93" xfId="0" applyNumberFormat="1" applyFont="1" applyFill="1" applyBorder="1" applyAlignment="1" applyProtection="1">
      <alignment horizontal="center" vertical="center" wrapText="1"/>
      <protection hidden="1"/>
    </xf>
    <xf numFmtId="165" fontId="5" fillId="5" borderId="32" xfId="0" applyNumberFormat="1" applyFont="1" applyFill="1" applyBorder="1" applyAlignment="1" applyProtection="1">
      <alignment horizontal="center" vertical="center" wrapText="1"/>
      <protection hidden="1"/>
    </xf>
    <xf numFmtId="165" fontId="5" fillId="5" borderId="43" xfId="0" applyNumberFormat="1" applyFont="1" applyFill="1" applyBorder="1" applyAlignment="1" applyProtection="1">
      <alignment horizontal="center" vertical="center" wrapText="1"/>
      <protection hidden="1"/>
    </xf>
    <xf numFmtId="0" fontId="28" fillId="18" borderId="28" xfId="0" applyFont="1" applyFill="1" applyBorder="1" applyAlignment="1" applyProtection="1">
      <alignment horizontal="center" vertical="center"/>
      <protection hidden="1"/>
    </xf>
    <xf numFmtId="0" fontId="28" fillId="18" borderId="29" xfId="0" applyFont="1" applyFill="1" applyBorder="1" applyAlignment="1" applyProtection="1">
      <alignment horizontal="center" vertical="center"/>
      <protection hidden="1"/>
    </xf>
    <xf numFmtId="0" fontId="28" fillId="18" borderId="30" xfId="0" applyFont="1" applyFill="1" applyBorder="1" applyAlignment="1" applyProtection="1">
      <alignment horizontal="center" vertical="center"/>
      <protection hidden="1"/>
    </xf>
    <xf numFmtId="0" fontId="3" fillId="3" borderId="10"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center" vertical="center"/>
      <protection hidden="1"/>
    </xf>
    <xf numFmtId="165" fontId="3" fillId="3" borderId="21" xfId="0" applyNumberFormat="1" applyFont="1" applyFill="1" applyBorder="1" applyAlignment="1" applyProtection="1">
      <alignment horizontal="right" vertical="center" indent="2"/>
      <protection hidden="1"/>
    </xf>
    <xf numFmtId="165" fontId="3" fillId="3" borderId="22" xfId="0" applyNumberFormat="1" applyFont="1" applyFill="1" applyBorder="1" applyAlignment="1" applyProtection="1">
      <alignment horizontal="right" vertical="center" indent="2"/>
      <protection hidden="1"/>
    </xf>
    <xf numFmtId="165" fontId="5" fillId="5" borderId="94" xfId="0" applyNumberFormat="1" applyFont="1" applyFill="1" applyBorder="1" applyAlignment="1" applyProtection="1">
      <alignment horizontal="center" vertical="center" wrapText="1"/>
      <protection hidden="1"/>
    </xf>
    <xf numFmtId="165" fontId="6" fillId="5" borderId="45" xfId="0" applyNumberFormat="1" applyFont="1" applyFill="1" applyBorder="1" applyAlignment="1" applyProtection="1">
      <alignment horizontal="center" vertical="center" wrapText="1"/>
      <protection hidden="1"/>
    </xf>
    <xf numFmtId="165" fontId="6" fillId="5" borderId="99" xfId="0" applyNumberFormat="1" applyFont="1" applyFill="1" applyBorder="1" applyAlignment="1" applyProtection="1">
      <alignment horizontal="center" vertical="center" wrapText="1"/>
      <protection hidden="1"/>
    </xf>
    <xf numFmtId="165" fontId="5" fillId="10" borderId="93" xfId="0" applyNumberFormat="1" applyFont="1" applyFill="1" applyBorder="1" applyAlignment="1" applyProtection="1">
      <alignment horizontal="center" vertical="center" wrapText="1"/>
      <protection hidden="1"/>
    </xf>
    <xf numFmtId="165" fontId="5" fillId="10" borderId="14" xfId="0" applyNumberFormat="1" applyFont="1" applyFill="1" applyBorder="1" applyAlignment="1" applyProtection="1">
      <alignment horizontal="center" vertical="center" wrapText="1"/>
      <protection hidden="1"/>
    </xf>
    <xf numFmtId="0" fontId="11" fillId="3" borderId="0" xfId="0" applyFont="1" applyFill="1" applyBorder="1" applyAlignment="1" applyProtection="1">
      <alignment horizontal="left" vertical="top" wrapText="1"/>
      <protection hidden="1"/>
    </xf>
    <xf numFmtId="0" fontId="11" fillId="19" borderId="78" xfId="0" applyFont="1" applyFill="1" applyBorder="1" applyAlignment="1">
      <alignment horizontal="center" vertical="center" wrapText="1"/>
    </xf>
    <xf numFmtId="0" fontId="11" fillId="19" borderId="80" xfId="0" applyFont="1" applyFill="1" applyBorder="1" applyAlignment="1">
      <alignment horizontal="center" vertical="center" wrapText="1"/>
    </xf>
    <xf numFmtId="0" fontId="11" fillId="19" borderId="101" xfId="0" applyFont="1" applyFill="1" applyBorder="1" applyAlignment="1">
      <alignment horizontal="center" vertical="center" wrapText="1"/>
    </xf>
    <xf numFmtId="0" fontId="11" fillId="19" borderId="41" xfId="0" applyFont="1" applyFill="1" applyBorder="1" applyAlignment="1">
      <alignment horizontal="center" vertical="center" wrapText="1"/>
    </xf>
    <xf numFmtId="165" fontId="3" fillId="3" borderId="5" xfId="0" applyNumberFormat="1" applyFont="1" applyFill="1" applyBorder="1" applyAlignment="1" applyProtection="1">
      <alignment horizontal="right" vertical="center" indent="2"/>
      <protection hidden="1"/>
    </xf>
    <xf numFmtId="165" fontId="3" fillId="3" borderId="24" xfId="0" applyNumberFormat="1" applyFont="1" applyFill="1" applyBorder="1" applyAlignment="1" applyProtection="1">
      <alignment horizontal="right" vertical="center" indent="2"/>
      <protection hidden="1"/>
    </xf>
    <xf numFmtId="0" fontId="3" fillId="3" borderId="23" xfId="0" applyFont="1" applyFill="1" applyBorder="1" applyAlignment="1" applyProtection="1">
      <alignment horizontal="left" vertical="center" indent="1"/>
      <protection hidden="1"/>
    </xf>
    <xf numFmtId="0" fontId="3" fillId="3" borderId="5" xfId="0" applyFont="1" applyFill="1" applyBorder="1" applyAlignment="1" applyProtection="1">
      <alignment horizontal="left" vertical="center" indent="1"/>
      <protection hidden="1"/>
    </xf>
    <xf numFmtId="0" fontId="3" fillId="3" borderId="20" xfId="0" applyFont="1" applyFill="1" applyBorder="1" applyAlignment="1" applyProtection="1">
      <alignment horizontal="left" vertical="center" indent="1"/>
      <protection hidden="1"/>
    </xf>
    <xf numFmtId="0" fontId="3" fillId="3" borderId="21" xfId="0" applyFont="1" applyFill="1" applyBorder="1" applyAlignment="1" applyProtection="1">
      <alignment horizontal="left" vertical="center" indent="1"/>
      <protection hidden="1"/>
    </xf>
    <xf numFmtId="0" fontId="29" fillId="18" borderId="28" xfId="0" applyFont="1" applyFill="1" applyBorder="1" applyAlignment="1" applyProtection="1">
      <alignment horizontal="center" vertical="center"/>
      <protection hidden="1"/>
    </xf>
    <xf numFmtId="0" fontId="29" fillId="18" borderId="29" xfId="0" applyFont="1" applyFill="1" applyBorder="1" applyAlignment="1" applyProtection="1">
      <alignment horizontal="center" vertical="center"/>
      <protection hidden="1"/>
    </xf>
    <xf numFmtId="0" fontId="29" fillId="18" borderId="30" xfId="0" applyFont="1" applyFill="1" applyBorder="1" applyAlignment="1" applyProtection="1">
      <alignment horizontal="center" vertical="center"/>
      <protection hidden="1"/>
    </xf>
    <xf numFmtId="0" fontId="3" fillId="4" borderId="59" xfId="0" applyFont="1" applyFill="1" applyBorder="1" applyAlignment="1" applyProtection="1">
      <alignment horizontal="left" vertical="center" indent="3"/>
      <protection hidden="1"/>
    </xf>
    <xf numFmtId="0" fontId="3" fillId="3" borderId="23" xfId="0" applyFont="1" applyFill="1" applyBorder="1" applyAlignment="1" applyProtection="1">
      <alignment horizontal="left" vertical="center" indent="4"/>
      <protection hidden="1"/>
    </xf>
    <xf numFmtId="0" fontId="3" fillId="3" borderId="5" xfId="0" applyFont="1" applyFill="1" applyBorder="1" applyAlignment="1" applyProtection="1">
      <alignment horizontal="left" vertical="center" indent="4"/>
      <protection hidden="1"/>
    </xf>
    <xf numFmtId="0" fontId="3" fillId="8" borderId="23" xfId="0" applyFont="1" applyFill="1" applyBorder="1" applyAlignment="1" applyProtection="1">
      <alignment horizontal="left" vertical="center" indent="2"/>
      <protection hidden="1"/>
    </xf>
    <xf numFmtId="0" fontId="3" fillId="8" borderId="5" xfId="0" applyFont="1" applyFill="1" applyBorder="1" applyAlignment="1" applyProtection="1">
      <alignment horizontal="left" vertical="center" indent="2"/>
      <protection hidden="1"/>
    </xf>
    <xf numFmtId="165" fontId="6" fillId="14" borderId="46" xfId="0" applyNumberFormat="1" applyFont="1" applyFill="1" applyBorder="1" applyAlignment="1" applyProtection="1">
      <alignment horizontal="right" vertical="center" indent="2"/>
      <protection hidden="1"/>
    </xf>
    <xf numFmtId="165" fontId="6" fillId="14" borderId="74" xfId="0" applyNumberFormat="1" applyFont="1" applyFill="1" applyBorder="1" applyAlignment="1" applyProtection="1">
      <alignment horizontal="right" vertical="center" indent="2"/>
      <protection hidden="1"/>
    </xf>
    <xf numFmtId="1" fontId="4" fillId="0" borderId="78" xfId="0" applyNumberFormat="1" applyFont="1" applyBorder="1" applyAlignment="1" applyProtection="1">
      <alignment horizontal="left" vertical="center" wrapText="1"/>
      <protection hidden="1"/>
    </xf>
    <xf numFmtId="0" fontId="4" fillId="0" borderId="79" xfId="0" applyFont="1" applyBorder="1" applyAlignment="1" applyProtection="1">
      <alignment horizontal="left" vertical="center" wrapText="1"/>
      <protection hidden="1"/>
    </xf>
    <xf numFmtId="0" fontId="4" fillId="0" borderId="80" xfId="0" applyFont="1" applyBorder="1" applyAlignment="1" applyProtection="1">
      <alignment horizontal="left" vertical="center" wrapText="1"/>
      <protection hidden="1"/>
    </xf>
    <xf numFmtId="0" fontId="3" fillId="7" borderId="76" xfId="0" applyFont="1" applyFill="1" applyBorder="1" applyAlignment="1" applyProtection="1">
      <alignment horizontal="left" vertical="center" wrapText="1" indent="2"/>
      <protection hidden="1"/>
    </xf>
    <xf numFmtId="0" fontId="3" fillId="7" borderId="88" xfId="0" applyFont="1" applyFill="1" applyBorder="1" applyAlignment="1" applyProtection="1">
      <alignment horizontal="left" vertical="center" wrapText="1" indent="2"/>
      <protection hidden="1"/>
    </xf>
    <xf numFmtId="0" fontId="3" fillId="7" borderId="7" xfId="0" applyFont="1" applyFill="1" applyBorder="1" applyAlignment="1" applyProtection="1">
      <alignment horizontal="left" vertical="center" wrapText="1" indent="2"/>
      <protection hidden="1"/>
    </xf>
    <xf numFmtId="0" fontId="3" fillId="7" borderId="81" xfId="0" applyFont="1" applyFill="1" applyBorder="1" applyAlignment="1" applyProtection="1">
      <alignment horizontal="left" vertical="center" wrapText="1" indent="2"/>
      <protection hidden="1"/>
    </xf>
    <xf numFmtId="0" fontId="5" fillId="7" borderId="53" xfId="0" applyFont="1" applyFill="1" applyBorder="1" applyAlignment="1" applyProtection="1">
      <alignment horizontal="center" vertical="center"/>
      <protection hidden="1"/>
    </xf>
    <xf numFmtId="0" fontId="6" fillId="7" borderId="55" xfId="0" applyFont="1" applyFill="1" applyBorder="1" applyAlignment="1" applyProtection="1">
      <alignment horizontal="center" vertical="center" wrapText="1"/>
      <protection hidden="1"/>
    </xf>
    <xf numFmtId="0" fontId="6" fillId="7" borderId="56" xfId="0" applyFont="1" applyFill="1" applyBorder="1" applyAlignment="1" applyProtection="1">
      <alignment horizontal="center" vertical="center" wrapText="1"/>
      <protection hidden="1"/>
    </xf>
    <xf numFmtId="1" fontId="5" fillId="7" borderId="54" xfId="0" applyNumberFormat="1" applyFont="1" applyFill="1" applyBorder="1" applyAlignment="1" applyProtection="1">
      <alignment horizontal="center" vertical="center"/>
      <protection hidden="1"/>
    </xf>
    <xf numFmtId="1" fontId="6" fillId="7" borderId="1" xfId="0" applyNumberFormat="1" applyFont="1" applyFill="1" applyBorder="1" applyAlignment="1" applyProtection="1">
      <alignment horizontal="center" vertical="center" wrapText="1"/>
      <protection hidden="1"/>
    </xf>
    <xf numFmtId="1" fontId="6" fillId="7" borderId="31" xfId="0" applyNumberFormat="1" applyFont="1" applyFill="1" applyBorder="1" applyAlignment="1" applyProtection="1">
      <alignment horizontal="center" vertical="center" wrapText="1"/>
      <protection hidden="1"/>
    </xf>
    <xf numFmtId="165" fontId="5" fillId="7" borderId="54" xfId="0" applyNumberFormat="1" applyFont="1" applyFill="1" applyBorder="1" applyAlignment="1" applyProtection="1">
      <alignment horizontal="center" vertical="center" wrapText="1"/>
      <protection hidden="1"/>
    </xf>
    <xf numFmtId="165" fontId="6" fillId="7" borderId="1" xfId="0" applyNumberFormat="1" applyFont="1" applyFill="1" applyBorder="1" applyAlignment="1" applyProtection="1">
      <alignment horizontal="center" vertical="center" wrapText="1"/>
      <protection hidden="1"/>
    </xf>
    <xf numFmtId="165" fontId="6" fillId="7" borderId="31" xfId="0" applyNumberFormat="1" applyFont="1" applyFill="1" applyBorder="1" applyAlignment="1" applyProtection="1">
      <alignment horizontal="center" vertical="center" wrapText="1"/>
      <protection hidden="1"/>
    </xf>
    <xf numFmtId="0" fontId="5" fillId="7" borderId="54" xfId="0" applyFont="1" applyFill="1" applyBorder="1" applyAlignment="1" applyProtection="1">
      <alignment horizontal="center" vertical="center"/>
      <protection hidden="1"/>
    </xf>
    <xf numFmtId="0" fontId="6" fillId="7" borderId="1" xfId="0" applyFont="1" applyFill="1" applyBorder="1" applyAlignment="1" applyProtection="1">
      <alignment horizontal="center" vertical="center" wrapText="1"/>
      <protection hidden="1"/>
    </xf>
    <xf numFmtId="0" fontId="6" fillId="7" borderId="31" xfId="0" applyFont="1" applyFill="1" applyBorder="1" applyAlignment="1" applyProtection="1">
      <alignment horizontal="center" vertical="center" wrapText="1"/>
      <protection hidden="1"/>
    </xf>
    <xf numFmtId="0" fontId="27" fillId="3" borderId="0" xfId="0" applyFont="1" applyFill="1" applyBorder="1" applyAlignment="1" applyProtection="1">
      <alignment horizontal="left" vertical="top" wrapText="1"/>
      <protection hidden="1"/>
    </xf>
    <xf numFmtId="165" fontId="5" fillId="7" borderId="67" xfId="0" applyNumberFormat="1" applyFont="1" applyFill="1" applyBorder="1" applyAlignment="1" applyProtection="1">
      <alignment horizontal="center" vertical="center" wrapText="1"/>
      <protection hidden="1"/>
    </xf>
    <xf numFmtId="165" fontId="6" fillId="7" borderId="68" xfId="0" applyNumberFormat="1" applyFont="1" applyFill="1" applyBorder="1" applyAlignment="1" applyProtection="1">
      <alignment horizontal="center" vertical="center" wrapText="1"/>
      <protection hidden="1"/>
    </xf>
    <xf numFmtId="165" fontId="6" fillId="7" borderId="69" xfId="0" applyNumberFormat="1" applyFont="1" applyFill="1" applyBorder="1" applyAlignment="1" applyProtection="1">
      <alignment horizontal="center" vertical="center" wrapText="1"/>
      <protection hidden="1"/>
    </xf>
    <xf numFmtId="165" fontId="5" fillId="7" borderId="73" xfId="0" applyNumberFormat="1" applyFont="1" applyFill="1" applyBorder="1" applyAlignment="1" applyProtection="1">
      <alignment horizontal="center" vertical="center" wrapText="1"/>
      <protection hidden="1"/>
    </xf>
    <xf numFmtId="165" fontId="6" fillId="7" borderId="60" xfId="0" applyNumberFormat="1" applyFont="1" applyFill="1" applyBorder="1" applyAlignment="1" applyProtection="1">
      <alignment horizontal="center" vertical="center" wrapText="1"/>
      <protection hidden="1"/>
    </xf>
    <xf numFmtId="165" fontId="6" fillId="7" borderId="66" xfId="0" applyNumberFormat="1" applyFont="1" applyFill="1" applyBorder="1" applyAlignment="1" applyProtection="1">
      <alignment horizontal="center" vertical="center" wrapText="1"/>
      <protection hidden="1"/>
    </xf>
    <xf numFmtId="0" fontId="3" fillId="7" borderId="42" xfId="0" applyFont="1" applyFill="1" applyBorder="1" applyAlignment="1" applyProtection="1">
      <alignment horizontal="left" vertical="center" wrapText="1" indent="2"/>
      <protection hidden="1"/>
    </xf>
    <xf numFmtId="0" fontId="3" fillId="7" borderId="82" xfId="0" applyFont="1" applyFill="1" applyBorder="1" applyAlignment="1" applyProtection="1">
      <alignment horizontal="left" vertical="center" wrapText="1" indent="2"/>
      <protection hidden="1"/>
    </xf>
    <xf numFmtId="0" fontId="12" fillId="17" borderId="75" xfId="0" applyFont="1" applyFill="1" applyBorder="1" applyAlignment="1" applyProtection="1">
      <alignment horizontal="left" vertical="center" indent="2"/>
      <protection hidden="1"/>
    </xf>
    <xf numFmtId="0" fontId="12" fillId="17" borderId="76" xfId="0" applyFont="1" applyFill="1" applyBorder="1" applyAlignment="1" applyProtection="1">
      <alignment horizontal="left" vertical="center" indent="2"/>
      <protection hidden="1"/>
    </xf>
    <xf numFmtId="0" fontId="12" fillId="17" borderId="77" xfId="0" applyFont="1" applyFill="1" applyBorder="1" applyAlignment="1" applyProtection="1">
      <alignment horizontal="left" vertical="center" indent="2"/>
      <protection hidden="1"/>
    </xf>
    <xf numFmtId="0" fontId="3" fillId="4" borderId="57" xfId="0" applyFont="1" applyFill="1" applyBorder="1" applyAlignment="1" applyProtection="1">
      <alignment horizontal="left" vertical="center" indent="3"/>
      <protection hidden="1"/>
    </xf>
    <xf numFmtId="0" fontId="3" fillId="4" borderId="61" xfId="0" applyFont="1" applyFill="1" applyBorder="1" applyAlignment="1" applyProtection="1">
      <alignment horizontal="left" vertical="center" indent="3"/>
      <protection hidden="1"/>
    </xf>
    <xf numFmtId="0" fontId="24" fillId="3" borderId="4" xfId="0" applyFont="1" applyFill="1" applyBorder="1" applyAlignment="1" applyProtection="1">
      <alignment horizontal="left" vertical="center"/>
      <protection hidden="1"/>
    </xf>
    <xf numFmtId="0" fontId="24" fillId="3" borderId="0" xfId="0" applyFont="1" applyFill="1" applyBorder="1" applyAlignment="1" applyProtection="1">
      <alignment horizontal="left" vertical="center"/>
      <protection hidden="1"/>
    </xf>
    <xf numFmtId="0" fontId="3" fillId="8" borderId="52" xfId="0" applyFont="1" applyFill="1" applyBorder="1" applyAlignment="1" applyProtection="1">
      <alignment horizontal="left" vertical="center" indent="2"/>
      <protection hidden="1"/>
    </xf>
    <xf numFmtId="0" fontId="3" fillId="8" borderId="34" xfId="0" applyFont="1" applyFill="1" applyBorder="1" applyAlignment="1" applyProtection="1">
      <alignment horizontal="left" vertical="center" indent="2"/>
      <protection hidden="1"/>
    </xf>
  </cellXfs>
  <cellStyles count="8">
    <cellStyle name="Currency" xfId="5" builtinId="4"/>
    <cellStyle name="Currency 2" xfId="3" xr:uid="{EEE9D913-0377-439B-9FB2-4558DC9F454C}"/>
    <cellStyle name="Currency 3" xfId="7" xr:uid="{5E1DD2EE-8A58-4DBD-B62C-E1D155D61205}"/>
    <cellStyle name="Normal" xfId="0" builtinId="0"/>
    <cellStyle name="Normal 2" xfId="2" xr:uid="{C2727015-0146-4669-912F-02624FF74B59}"/>
    <cellStyle name="Normal 3" xfId="6" xr:uid="{6BB39C4F-2B2C-43D7-9E1A-F37FE2CCF8F6}"/>
    <cellStyle name="Percent" xfId="1" builtinId="5"/>
    <cellStyle name="Percent 2" xfId="4" xr:uid="{88AE0D89-5ACB-454F-AFF1-44FE6AF276F9}"/>
  </cellStyles>
  <dxfs count="67">
    <dxf>
      <numFmt numFmtId="0" formatCode="Genera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fill>
        <patternFill patternType="solid">
          <fgColor indexed="64"/>
          <bgColor rgb="FFFFFF00"/>
        </patternFill>
      </fill>
    </dxf>
    <dxf>
      <font>
        <b val="0"/>
        <i val="0"/>
        <strike val="0"/>
        <condense val="0"/>
        <extend val="0"/>
        <outline val="0"/>
        <shadow val="0"/>
        <u val="none"/>
        <vertAlign val="baseline"/>
        <sz val="11"/>
        <color rgb="FF000000"/>
        <name val="Aptos Narrow"/>
        <family val="2"/>
        <scheme val="none"/>
      </font>
      <fill>
        <patternFill patternType="solid">
          <fgColor indexed="64"/>
          <bgColor rgb="FFFFFF00"/>
        </patternFill>
      </fill>
    </dxf>
    <dxf>
      <font>
        <b val="0"/>
        <i val="0"/>
        <strike val="0"/>
        <condense val="0"/>
        <extend val="0"/>
        <outline val="0"/>
        <shadow val="0"/>
        <u val="none"/>
        <vertAlign val="baseline"/>
        <sz val="11"/>
        <color rgb="FF000000"/>
        <name val="Aptos Narrow"/>
        <family val="2"/>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font>
        <b val="0"/>
        <i val="0"/>
        <strike val="0"/>
        <condense val="0"/>
        <extend val="0"/>
        <outline val="0"/>
        <shadow val="0"/>
        <u val="none"/>
        <vertAlign val="baseline"/>
        <sz val="11"/>
        <color theme="0"/>
        <name val="Calibri"/>
        <family val="2"/>
        <scheme val="none"/>
      </font>
      <numFmt numFmtId="0" formatCode="General"/>
      <fill>
        <patternFill patternType="solid">
          <fgColor indexed="64"/>
          <bgColor theme="2" tint="-0.749992370372631"/>
        </patternFill>
      </fill>
    </dxf>
    <dxf>
      <font>
        <strike val="0"/>
        <outline val="0"/>
        <shadow val="0"/>
        <u val="none"/>
        <vertAlign val="baseline"/>
        <sz val="11"/>
        <color theme="0"/>
        <name val="Calibri"/>
        <family val="2"/>
        <scheme val="none"/>
      </font>
      <numFmt numFmtId="0" formatCode="General"/>
      <fill>
        <patternFill patternType="solid">
          <fgColor indexed="64"/>
          <bgColor theme="2" tint="-0.749992370372631"/>
        </patternFill>
      </fill>
    </dxf>
    <dxf>
      <font>
        <strike val="0"/>
        <outline val="0"/>
        <shadow val="0"/>
        <u val="none"/>
        <vertAlign val="baseline"/>
        <sz val="11"/>
        <color theme="0"/>
        <name val="Calibri"/>
        <family val="2"/>
        <scheme val="none"/>
      </font>
      <numFmt numFmtId="0" formatCode="General"/>
      <fill>
        <patternFill patternType="solid">
          <fgColor indexed="64"/>
          <bgColor theme="2" tint="-0.749992370372631"/>
        </patternFill>
      </fill>
    </dxf>
    <dxf>
      <numFmt numFmtId="34" formatCode="_(&quot;$&quot;* #,##0.00_);_(&quot;$&quot;* \(#,##0.00\);_(&quot;$&quot;* &quot;-&quot;??_);_(@_)"/>
      <fill>
        <patternFill patternType="solid">
          <fgColor indexed="64"/>
          <bgColor theme="9" tint="0.79998168889431442"/>
        </patternFill>
      </fill>
    </dxf>
    <dxf>
      <numFmt numFmtId="34" formatCode="_(&quot;$&quot;* #,##0.00_);_(&quot;$&quot;* \(#,##0.00\);_(&quot;$&quot;* &quot;-&quot;??_);_(@_)"/>
      <fill>
        <patternFill patternType="solid">
          <fgColor indexed="64"/>
          <bgColor theme="9" tint="0.79998168889431442"/>
        </patternFill>
      </fill>
    </dxf>
    <dxf>
      <fill>
        <patternFill patternType="solid">
          <fgColor indexed="64"/>
          <bgColor theme="9" tint="0.79998168889431442"/>
        </patternFill>
      </fill>
      <border diagonalUp="0" diagonalDown="0" outline="0">
        <left style="thick">
          <color indexed="64"/>
        </left>
        <right/>
        <top/>
        <bottom/>
      </border>
    </dxf>
    <dxf>
      <fill>
        <patternFill patternType="solid">
          <fgColor indexed="64"/>
          <bgColor rgb="FFFFFFCC"/>
        </patternFill>
      </fill>
      <alignment horizontal="center" vertical="bottom" textRotation="0" wrapText="0" indent="0" justifyLastLine="0" shrinkToFit="0" readingOrder="0"/>
      <border diagonalUp="0" diagonalDown="0">
        <left/>
        <right style="thick">
          <color indexed="64"/>
        </right>
        <top/>
        <bottom/>
        <vertical/>
        <horizontal/>
      </border>
    </dxf>
    <dxf>
      <fill>
        <patternFill patternType="solid">
          <fgColor indexed="64"/>
          <bgColor rgb="FFFFFFCC"/>
        </patternFill>
      </fill>
      <alignment horizontal="center" vertical="bottom" textRotation="0" wrapText="0" indent="0" justifyLastLine="0" shrinkToFit="0" readingOrder="0"/>
    </dxf>
    <dxf>
      <fill>
        <patternFill patternType="solid">
          <fgColor indexed="64"/>
          <bgColor rgb="FFFFFFCC"/>
        </patternFill>
      </fill>
      <alignment horizontal="center" vertical="bottom" textRotation="0" wrapText="0" indent="0" justifyLastLine="0" shrinkToFit="0" readingOrder="0"/>
      <border diagonalUp="0" diagonalDown="0">
        <left style="thick">
          <color indexed="64"/>
        </left>
        <right/>
        <top/>
        <bottom/>
        <vertical/>
        <horizontal/>
      </border>
    </dxf>
    <dxf>
      <border diagonalUp="0" diagonalDown="0">
        <left/>
        <right style="thick">
          <color indexed="64"/>
        </right>
        <top/>
        <bottom/>
        <vertical/>
        <horizontal/>
      </border>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border diagonalUp="0" diagonalDown="0" outline="0">
        <left style="thick">
          <color indexed="64"/>
        </left>
        <right/>
        <top/>
        <bottom/>
      </border>
    </dxf>
    <dxf>
      <font>
        <color theme="0" tint="-0.24994659260841701"/>
      </font>
      <fill>
        <patternFill>
          <bgColor theme="0" tint="-0.24994659260841701"/>
        </patternFill>
      </fill>
    </dxf>
    <dxf>
      <fill>
        <patternFill>
          <bgColor theme="0" tint="-0.24994659260841701"/>
        </patternFill>
      </fill>
    </dxf>
    <dxf>
      <font>
        <color theme="0" tint="-0.34998626667073579"/>
      </font>
    </dxf>
    <dxf>
      <font>
        <u val="none"/>
        <color theme="0" tint="-0.34998626667073579"/>
      </font>
    </dxf>
    <dxf>
      <font>
        <color theme="0" tint="-0.14996795556505021"/>
      </font>
      <fill>
        <patternFill>
          <bgColor theme="0" tint="-0.14996795556505021"/>
        </patternFill>
      </fill>
    </dxf>
    <dxf>
      <font>
        <color theme="0" tint="-0.34998626667073579"/>
      </font>
    </dxf>
    <dxf>
      <font>
        <color theme="0" tint="-0.34998626667073579"/>
      </font>
    </dxf>
    <dxf>
      <font>
        <b/>
        <i val="0"/>
      </font>
    </dxf>
    <dxf>
      <font>
        <b/>
        <i val="0"/>
      </font>
    </dxf>
    <dxf>
      <fill>
        <patternFill>
          <bgColor theme="9" tint="0.79998168889431442"/>
        </patternFill>
      </fill>
    </dxf>
    <dxf>
      <fill>
        <patternFill>
          <bgColor theme="9" tint="0.79998168889431442"/>
        </patternFill>
      </fill>
    </dxf>
    <dxf>
      <fill>
        <patternFill>
          <bgColor theme="9" tint="0.79998168889431442"/>
        </patternFill>
      </fill>
    </dxf>
    <dxf>
      <font>
        <color theme="0" tint="-0.34998626667073579"/>
      </font>
    </dxf>
    <dxf>
      <font>
        <u val="none"/>
        <color theme="0" tint="-0.34998626667073579"/>
      </font>
    </dxf>
    <dxf>
      <font>
        <color theme="0"/>
      </font>
    </dxf>
    <dxf>
      <font>
        <color theme="0"/>
      </font>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8C774E40-5CD8-4D81-89C6-7C48AE3E006F}">
      <tableStyleElement type="wholeTable" dxfId="66"/>
      <tableStyleElement type="headerRow" dxfId="65"/>
    </tableStyle>
  </tableStyles>
  <colors>
    <mruColors>
      <color rgb="FFF9F3FF"/>
      <color rgb="FFF5EBFF"/>
      <color rgb="FFFFFFCC"/>
      <color rgb="FFFED6F4"/>
      <color rgb="FFD8CDE7"/>
      <color rgb="FF7E58AE"/>
      <color rgb="FFFFC0CB"/>
      <color rgb="FFFF99FF"/>
      <color rgb="FF99CCFF"/>
      <color rgb="FFDEB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06/relationships/vbaProject" Target="vbaProject.bin"/></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193304</xdr:colOff>
      <xdr:row>1</xdr:row>
      <xdr:rowOff>1494</xdr:rowOff>
    </xdr:to>
    <xdr:pic>
      <xdr:nvPicPr>
        <xdr:cNvPr id="2" name="Picture 1">
          <a:extLst>
            <a:ext uri="{FF2B5EF4-FFF2-40B4-BE49-F238E27FC236}">
              <a16:creationId xmlns:a16="http://schemas.microsoft.com/office/drawing/2014/main" id="{D1F15843-BD38-4633-99EA-282459E82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87721" cy="848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228600</xdr:colOff>
      <xdr:row>1</xdr:row>
      <xdr:rowOff>200025</xdr:rowOff>
    </xdr:from>
    <xdr:to>
      <xdr:col>8</xdr:col>
      <xdr:colOff>657860</xdr:colOff>
      <xdr:row>5</xdr:row>
      <xdr:rowOff>86360</xdr:rowOff>
    </xdr:to>
    <xdr:pic>
      <xdr:nvPicPr>
        <xdr:cNvPr id="2" name="Picture 1">
          <a:extLst>
            <a:ext uri="{FF2B5EF4-FFF2-40B4-BE49-F238E27FC236}">
              <a16:creationId xmlns:a16="http://schemas.microsoft.com/office/drawing/2014/main" id="{B693FB82-CC6E-4414-ABFB-A391C3E4E8B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178"/>
        <a:stretch/>
      </xdr:blipFill>
      <xdr:spPr>
        <a:xfrm>
          <a:off x="4419600" y="384175"/>
          <a:ext cx="1406525" cy="711200"/>
        </a:xfrm>
        <a:prstGeom prst="rect">
          <a:avLst/>
        </a:prstGeom>
      </xdr:spPr>
    </xdr:pic>
    <xdr:clientData/>
  </xdr:twoCellAnchor>
  <xdr:twoCellAnchor>
    <xdr:from>
      <xdr:col>10</xdr:col>
      <xdr:colOff>476250</xdr:colOff>
      <xdr:row>1</xdr:row>
      <xdr:rowOff>0</xdr:rowOff>
    </xdr:from>
    <xdr:to>
      <xdr:col>12</xdr:col>
      <xdr:colOff>504825</xdr:colOff>
      <xdr:row>3</xdr:row>
      <xdr:rowOff>9525</xdr:rowOff>
    </xdr:to>
    <xdr:sp macro="[0]!PRINT_SUMMARY" textlink="">
      <xdr:nvSpPr>
        <xdr:cNvPr id="4" name="Rectangle: Rounded Corners 3">
          <a:extLst>
            <a:ext uri="{FF2B5EF4-FFF2-40B4-BE49-F238E27FC236}">
              <a16:creationId xmlns:a16="http://schemas.microsoft.com/office/drawing/2014/main" id="{6CA43EE7-A89E-339D-5851-E0247428B05A}"/>
            </a:ext>
          </a:extLst>
        </xdr:cNvPr>
        <xdr:cNvSpPr/>
      </xdr:nvSpPr>
      <xdr:spPr>
        <a:xfrm>
          <a:off x="7486650" y="190500"/>
          <a:ext cx="1247775" cy="466725"/>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EXPORT</a:t>
          </a:r>
          <a:r>
            <a:rPr lang="en-US" sz="1200" b="1" baseline="0"/>
            <a:t> PDF</a:t>
          </a:r>
          <a:endParaRPr lang="en-US" sz="1200" b="1"/>
        </a:p>
      </xdr:txBody>
    </xdr:sp>
    <xdr:clientData/>
  </xdr:twoCellAnchor>
</xdr:wsDr>
</file>

<file path=xl/persons/person.xml><?xml version="1.0" encoding="utf-8"?>
<personList xmlns="http://schemas.microsoft.com/office/spreadsheetml/2018/threadedcomments" xmlns:x="http://schemas.openxmlformats.org/spreadsheetml/2006/main">
  <person displayName="Chad Noyes" id="{4255E54B-AE55-4179-B1C1-FBE5CECF8D24}" userId="S::chad.noyes@envu.com::a5196a81-30e4-438b-b368-dffccbe8f8d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77EB9E-A63E-465B-ACA4-4E7B73E9AF24}" name="Rebate_Lookup" displayName="Rebate_Lookup" ref="B2:P46" totalsRowShown="0">
  <autoFilter ref="B2:P46" xr:uid="{B477EB9E-A63E-465B-ACA4-4E7B73E9AF24}"/>
  <tableColumns count="15">
    <tableColumn id="1" xr3:uid="{D30503F9-C8A9-4D80-9F06-EF75A81A1FF7}" name="SKU CODE" dataDxfId="48"/>
    <tableColumn id="12" xr3:uid="{F4FB0241-59C3-4F5E-B701-361788AE8F18}" name="Agency/TT" dataDxfId="47"/>
    <tableColumn id="2" xr3:uid="{EF0942D5-A710-450B-ADF7-8F51ACC36A90}" name="Description"/>
    <tableColumn id="7" xr3:uid="{B629115B-3014-42B7-972C-29EE8E43D7CE}" name="Size"/>
    <tableColumn id="3" xr3:uid="{A276B0F5-F172-418B-8B28-7BC0B7EE7E6F}" name="Instances" dataDxfId="46"/>
    <tableColumn id="4" xr3:uid="{262E9C9C-D07A-46D8-8DD6-203BE4D5CF69}" name="MOQ_1" dataDxfId="45"/>
    <tableColumn id="5" xr3:uid="{90206060-067E-41B3-AE02-33BA1DF17C09}" name="MOQ_2" dataDxfId="44"/>
    <tableColumn id="6" xr3:uid="{2C30BD3E-DCB6-43CC-B63C-821A09089AAA}" name="MOQ_3" dataDxfId="43"/>
    <tableColumn id="8" xr3:uid="{02C556DC-5548-4E62-89C2-CA9DEF8A15B7}" name="REB_MOQ_1" dataDxfId="42" dataCellStyle="Currency"/>
    <tableColumn id="9" xr3:uid="{8ADEC196-237C-49E8-AC39-A89BC9A9BE53}" name="REB_MOQ_2" dataDxfId="41" dataCellStyle="Currency"/>
    <tableColumn id="10" xr3:uid="{CBEE3858-A375-4BA9-8453-144D3801A313}" name="REB_MOQ_3" dataDxfId="40" dataCellStyle="Currency"/>
    <tableColumn id="11" xr3:uid="{1F995AB8-9D11-4B38-84AB-4091A568FE10}" name="Order Form Quantity" dataDxfId="39">
      <calculatedColumnFormula>INDEX('2025 ORNAMENTALS - UNITS'!I:I,MATCH(Rebate_Lookup[[#This Row],[SKU CODE]],'2025 ORNAMENTALS - UNITS'!A:A,0))</calculatedColumnFormula>
    </tableColumn>
    <tableColumn id="13" xr3:uid="{6498B811-5AEA-469F-8039-DBAFEF59BFF6}" name="Qualified Rebate Tier" dataDxfId="38">
      <calculatedColumnFormula>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calculatedColumnFormula>
    </tableColumn>
    <tableColumn id="15" xr3:uid="{0114B748-EF5A-4FF1-BCD8-759F27D42656}" name="Column1" dataDxfId="37">
      <calculatedColumnFormula>COUNTIF('2025 ORNAMENTALS - UNITS'!A:A,Rebate_Lookup[[#This Row],[SKU CODE]])</calculatedColumnFormula>
    </tableColumn>
    <tableColumn id="14" xr3:uid="{1A440646-B7E3-4DAC-B31B-B3DC5DEFD6FF}" name="Volume Buy Counter" dataDxfId="36">
      <calculatedColumnFormula>IFERROR(Rebate_Lookup[[#This Row],[Order Form Quantity]]&gt;=Rebate_Lookup[[#This Row],[MOQ_2]],0)</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DB263B-C9C4-4EA3-BCE1-15E3DFF26085}" name="PRICING" displayName="PRICING" ref="A1:AG24" totalsRowShown="0" headerRowCellStyle="Normal 3" dataCellStyle="Normal 3">
  <autoFilter ref="A1:AG24" xr:uid="{D4DB263B-C9C4-4EA3-BCE1-15E3DFF26085}"/>
  <tableColumns count="33">
    <tableColumn id="1" xr3:uid="{C40F7846-4718-4945-A1F0-CED9C394B378}" name="Manufacturer" dataCellStyle="Normal 3"/>
    <tableColumn id="22" xr3:uid="{D350342D-435D-4233-B9A2-DE5F637FF0F6}" name="Agency/TT" dataCellStyle="Normal 3"/>
    <tableColumn id="2" xr3:uid="{61C5C04C-A3DF-4FA0-9988-D6475BF3DA6D}" name="Segment" dataCellStyle="Normal 3"/>
    <tableColumn id="20" xr3:uid="{78424F8B-7156-4259-A845-926EEF9F1EA2}" name="Region" dataCellStyle="Normal 3"/>
    <tableColumn id="3" xr3:uid="{F93B0B8A-7D52-4B9B-8B75-016B9D87C1A7}" name="Indication" dataCellStyle="Normal 3"/>
    <tableColumn id="21" xr3:uid="{9DA75831-CA95-46B3-B8F3-5563E5FE2124}" name="Vol Buys" dataCellStyle="Normal 3"/>
    <tableColumn id="4" xr3:uid="{8E0EC537-F70E-42C0-A171-DB6837F12F0E}" name="Program" dataDxfId="8" dataCellStyle="Normal 3"/>
    <tableColumn id="5" xr3:uid="{E9FBEAA6-11AA-4221-AAE7-76B52276942F}" name="Old Bayer SKU " dataDxfId="7" dataCellStyle="Normal 3"/>
    <tableColumn id="6" xr3:uid="{36F905FD-1932-430D-BCA7-FE9D07BCDA26}" name="Old Envu SKU" dataDxfId="6" dataCellStyle="Normal 3"/>
    <tableColumn id="7" xr3:uid="{EFEFEE23-DC63-405C-A567-28E8DD63865F}" name="SKU" dataDxfId="5" dataCellStyle="Normal 3"/>
    <tableColumn id="8" xr3:uid="{7920513E-AA47-4B13-A75A-4308913E026F}" name="Product" dataCellStyle="Normal 3"/>
    <tableColumn id="9" xr3:uid="{2B33B601-1FD9-4B04-8381-2401AD0FF03B}" name="Size" dataCellStyle="Normal 3"/>
    <tableColumn id="10" xr3:uid="{A8CD33FA-C167-42A1-A705-4C73ABB95C17}" name="2025 In-Season Price" dataCellStyle="Normal 3"/>
    <tableColumn id="11" xr3:uid="{FD1843E2-42AA-4A6B-AA89-AA3B0E233E1A}" name="NOW Price" dataDxfId="4" dataCellStyle="Currency 3"/>
    <tableColumn id="23" xr3:uid="{C20A2A93-56F4-4182-82F8-FED53033DBCB}" name="In SZN-NOW delta" dataDxfId="3" dataCellStyle="Currency 3"/>
    <tableColumn id="12" xr3:uid="{9AA2EE2B-37AE-4884-911C-497EDF8A2AB6}" name="Min Qty" dataDxfId="2" dataCellStyle="Normal 3"/>
    <tableColumn id="13" xr3:uid="{7CEAB95D-D46D-422F-95DB-78EC44F51507}" name="Rebate $" dataDxfId="1" dataCellStyle="Currency 3"/>
    <tableColumn id="14" xr3:uid="{DB839FD4-875B-4751-ACB4-EB8CCBEE6930}" name="Final Price" dataCellStyle="Normal 3"/>
    <tableColumn id="27" xr3:uid="{2CA29CF0-CFAE-4858-9BC2-094349534506}" name="CA In-season Price" dataCellStyle="Normal 3"/>
    <tableColumn id="28" xr3:uid="{CCC4E534-44BD-4BD6-B5FF-B73B502E8F6E}" name="CA NOW Price" dataCellStyle="Normal 3"/>
    <tableColumn id="29" xr3:uid="{A0B22ECF-E2DC-4D5A-A02C-ECC2EDDB6146}" name="CA Final Price" dataCellStyle="Normal 3"/>
    <tableColumn id="30" xr3:uid="{91FF85EB-8D1F-4868-8598-9E4DCD4EC79B}" name="WA In-season Price" dataCellStyle="Normal 3"/>
    <tableColumn id="31" xr3:uid="{54BBE90D-8E14-42C6-A4FC-78C693E7A28F}" name="WA NOW Price" dataCellStyle="Normal 3"/>
    <tableColumn id="32" xr3:uid="{4E1FFE8E-9662-4EE0-886D-73848AF8E3BC}" name="WA Final Price" dataCellStyle="Normal 3"/>
    <tableColumn id="24" xr3:uid="{D513B5E0-1CF0-4D05-8042-3AB404C61061}" name="Package Ounces" dataCellStyle="Normal 3"/>
    <tableColumn id="15" xr3:uid="{90F86853-EA3A-4F6F-ADDF-2F070F57149A}" name="Standard Use Rate (oz/M)" dataCellStyle="Normal 3"/>
    <tableColumn id="25" xr3:uid="{1DE3F186-67FB-42DF-B286-8F1B84EFF3AF}" name="Standard Use Rate (oz/Acre)" dataCellStyle="Normal 3"/>
    <tableColumn id="26" xr3:uid="{771E7EB3-D900-4069-BC16-412B1E2E7EFF}" name="Price/1000 sq ft" dataCellStyle="Normal 3"/>
    <tableColumn id="16" xr3:uid="{EFA1CF62-0D53-4A5F-83BD-163B40DD19E7}" name="Price/Acre" dataCellStyle="Normal 3"/>
    <tableColumn id="17" xr3:uid="{3BD74CDB-7FAE-415B-BBEF-40F44DABEC11}" name="Total %" dataCellStyle="Normal 3"/>
    <tableColumn id="18" xr3:uid="{F9578103-33FB-403F-81EB-47A93CDA7445}" name="*cumlative" dataCellStyle="Normal 3"/>
    <tableColumn id="19" xr3:uid="{D51A9F18-140E-464D-909E-1B62F942913D}" name="Set" dataCellStyle="Normal 3"/>
    <tableColumn id="33" xr3:uid="{15AAA5A7-2F55-4060-BE7C-83696B1F4449}" name="Lookup" dataDxfId="0" dataCellStyle="Normal 3">
      <calculatedColumnFormula>PRICING[[#This Row],[SKU]]&amp;"-"&amp;PRICING[[#This Row],[Set]]</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3" dT="2025-06-17T22:04:05.49" personId="{4255E54B-AE55-4179-B1C1-FBE5CECF8D24}" id="{68F43FED-BFBF-4AE9-B04E-393BFBA7A159}">
    <text>The brands where min qty is 175 gal, rebate is $15 rebate/gal.  They can mix and match as they desire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8226-DE7A-46E1-9897-4FB56944CC57}">
  <sheetPr codeName="Sheet4">
    <pageSetUpPr fitToPage="1"/>
  </sheetPr>
  <dimension ref="A1:AH64"/>
  <sheetViews>
    <sheetView showGridLines="0" tabSelected="1" topLeftCell="E1" zoomScale="90" zoomScaleNormal="90" workbookViewId="0">
      <selection activeCell="I40" sqref="I40"/>
    </sheetView>
  </sheetViews>
  <sheetFormatPr defaultColWidth="0" defaultRowHeight="12.75" customHeight="1" x14ac:dyDescent="0.3"/>
  <cols>
    <col min="1" max="1" width="32.7265625" style="62" hidden="1" customWidth="1"/>
    <col min="2" max="2" width="21.26953125" style="62" hidden="1" customWidth="1"/>
    <col min="3" max="3" width="16" style="62" hidden="1" customWidth="1"/>
    <col min="4" max="4" width="34.26953125" style="62" hidden="1" customWidth="1"/>
    <col min="5" max="5" width="3.26953125" style="62" customWidth="1"/>
    <col min="6" max="6" width="25.1796875" style="62" customWidth="1"/>
    <col min="7" max="7" width="31.453125" style="62" customWidth="1"/>
    <col min="8" max="8" width="13.453125" style="62" customWidth="1"/>
    <col min="9" max="9" width="15.81640625" style="80" customWidth="1"/>
    <col min="10" max="10" width="12.26953125" style="67" customWidth="1"/>
    <col min="11" max="11" width="17.7265625" style="67" customWidth="1"/>
    <col min="12" max="12" width="15.26953125" style="67" customWidth="1"/>
    <col min="13" max="13" width="17.1796875" style="67" customWidth="1"/>
    <col min="14" max="15" width="17" style="67" customWidth="1"/>
    <col min="16" max="17" width="13.54296875" style="67" customWidth="1"/>
    <col min="18" max="18" width="13.54296875" style="62" customWidth="1"/>
    <col min="19" max="19" width="5" style="62" hidden="1" customWidth="1"/>
    <col min="20" max="20" width="14.54296875" style="62" hidden="1" customWidth="1"/>
    <col min="21" max="21" width="16.7265625" style="62" hidden="1" customWidth="1"/>
    <col min="22" max="23" width="9.1796875" style="62" hidden="1" customWidth="1"/>
    <col min="24" max="24" width="10.453125" style="62" hidden="1" customWidth="1"/>
    <col min="25" max="16384" width="9.1796875" style="62" hidden="1"/>
  </cols>
  <sheetData>
    <row r="1" spans="1:34" ht="67" customHeight="1" x14ac:dyDescent="0.3">
      <c r="G1" s="261" t="s">
        <v>91</v>
      </c>
      <c r="H1" s="261"/>
      <c r="I1" s="261"/>
      <c r="J1" s="261"/>
      <c r="K1" s="261"/>
      <c r="L1" s="261"/>
      <c r="M1" s="261"/>
      <c r="N1" s="63"/>
      <c r="O1" s="63"/>
      <c r="P1" s="64"/>
      <c r="Q1" s="64"/>
      <c r="R1" s="64"/>
    </row>
    <row r="2" spans="1:34" s="52" customFormat="1" ht="9.75" customHeight="1" x14ac:dyDescent="0.3">
      <c r="G2" s="65"/>
      <c r="H2" s="65"/>
      <c r="I2" s="65"/>
      <c r="J2" s="65"/>
      <c r="K2" s="65"/>
      <c r="L2" s="65"/>
      <c r="M2" s="65"/>
      <c r="N2" s="65"/>
      <c r="O2" s="65"/>
      <c r="P2" s="86"/>
      <c r="Q2" s="86"/>
      <c r="R2" s="87"/>
      <c r="S2" s="87"/>
      <c r="T2" s="87"/>
      <c r="U2" s="62"/>
      <c r="V2" s="62"/>
      <c r="W2" s="62"/>
      <c r="X2" s="62"/>
      <c r="Y2" s="62"/>
      <c r="Z2" s="62"/>
      <c r="AA2" s="62"/>
      <c r="AB2" s="62"/>
    </row>
    <row r="3" spans="1:34" ht="24" customHeight="1" x14ac:dyDescent="0.3">
      <c r="A3" s="66"/>
      <c r="B3" s="66"/>
      <c r="C3" s="66"/>
      <c r="D3" s="66"/>
      <c r="G3" s="66"/>
      <c r="I3" s="67"/>
      <c r="K3" s="213" t="s">
        <v>182</v>
      </c>
      <c r="L3" s="213"/>
      <c r="N3" s="168" t="s">
        <v>160</v>
      </c>
      <c r="O3" s="166"/>
      <c r="P3" s="166"/>
      <c r="Q3" s="166"/>
      <c r="R3" s="167"/>
      <c r="S3" s="88"/>
      <c r="T3" s="88"/>
      <c r="AH3" s="62" t="s">
        <v>155</v>
      </c>
    </row>
    <row r="4" spans="1:34" ht="29.25" customHeight="1" x14ac:dyDescent="0.3">
      <c r="A4" s="68"/>
      <c r="B4" s="68"/>
      <c r="C4" s="68"/>
      <c r="D4" s="68"/>
      <c r="F4" s="271" t="s">
        <v>0</v>
      </c>
      <c r="G4" s="271"/>
      <c r="H4" s="68"/>
      <c r="I4" s="67"/>
      <c r="K4" s="214" t="s">
        <v>183</v>
      </c>
      <c r="L4" s="214" t="s">
        <v>184</v>
      </c>
      <c r="N4" s="156" t="s">
        <v>186</v>
      </c>
      <c r="O4" s="215" t="s">
        <v>187</v>
      </c>
      <c r="P4" s="216" t="s">
        <v>188</v>
      </c>
      <c r="Q4" s="215" t="s">
        <v>189</v>
      </c>
      <c r="R4" s="217" t="s">
        <v>190</v>
      </c>
      <c r="S4" s="88"/>
      <c r="T4" s="88"/>
      <c r="AG4" s="62" t="s">
        <v>150</v>
      </c>
      <c r="AH4" s="62" t="s">
        <v>153</v>
      </c>
    </row>
    <row r="5" spans="1:34" ht="21" customHeight="1" x14ac:dyDescent="0.3">
      <c r="A5" s="68"/>
      <c r="B5" s="68"/>
      <c r="C5" s="68"/>
      <c r="D5" s="68"/>
      <c r="F5" s="46" t="s">
        <v>1</v>
      </c>
      <c r="G5" s="157"/>
      <c r="H5" s="68"/>
      <c r="I5" s="67"/>
      <c r="K5" s="218">
        <v>3</v>
      </c>
      <c r="L5" s="219">
        <v>0.02</v>
      </c>
      <c r="M5" s="229" t="b">
        <f>K5=$D$35</f>
        <v>0</v>
      </c>
      <c r="N5" s="220">
        <v>5000</v>
      </c>
      <c r="O5" s="220">
        <v>19999</v>
      </c>
      <c r="P5" s="221">
        <v>0.02</v>
      </c>
      <c r="Q5" s="222">
        <v>0.01</v>
      </c>
      <c r="R5" s="222">
        <v>0.03</v>
      </c>
      <c r="S5" s="224" t="b">
        <f>AND($T$5&gt;=N5,$T$5&lt;N6)</f>
        <v>0</v>
      </c>
      <c r="T5" s="211">
        <f>M35+SUM(M40:M44)</f>
        <v>0</v>
      </c>
      <c r="AG5" s="62" t="s">
        <v>151</v>
      </c>
      <c r="AH5" s="62" t="s">
        <v>154</v>
      </c>
    </row>
    <row r="6" spans="1:34" ht="21" customHeight="1" x14ac:dyDescent="0.3">
      <c r="A6" s="68"/>
      <c r="B6" s="68"/>
      <c r="C6" s="68"/>
      <c r="D6" s="68"/>
      <c r="F6" s="47" t="s">
        <v>2</v>
      </c>
      <c r="G6" s="157"/>
      <c r="H6" s="68"/>
      <c r="I6" s="67"/>
      <c r="K6" s="218">
        <v>4</v>
      </c>
      <c r="L6" s="219">
        <v>0.03</v>
      </c>
      <c r="M6" s="229" t="b">
        <f>K6=$D$35</f>
        <v>0</v>
      </c>
      <c r="N6" s="220">
        <v>20000</v>
      </c>
      <c r="O6" s="220">
        <v>39999</v>
      </c>
      <c r="P6" s="221">
        <v>0.03</v>
      </c>
      <c r="Q6" s="222">
        <v>0.01</v>
      </c>
      <c r="R6" s="222">
        <v>0.04</v>
      </c>
      <c r="S6" s="224" t="b">
        <f>AND($T$5&gt;=N6,$T$5&lt;N7)</f>
        <v>0</v>
      </c>
    </row>
    <row r="7" spans="1:34" ht="21" customHeight="1" x14ac:dyDescent="0.3">
      <c r="A7" s="68"/>
      <c r="B7" s="68"/>
      <c r="C7" s="68"/>
      <c r="D7" s="68"/>
      <c r="F7" s="48" t="s">
        <v>3</v>
      </c>
      <c r="G7" s="157"/>
      <c r="H7" s="68"/>
      <c r="I7" s="67"/>
      <c r="K7" s="218">
        <v>5</v>
      </c>
      <c r="L7" s="223">
        <v>0.04</v>
      </c>
      <c r="M7" s="229" t="b">
        <f>K7&lt;=$D$35</f>
        <v>0</v>
      </c>
      <c r="N7" s="220">
        <v>40000</v>
      </c>
      <c r="O7" s="220">
        <v>74999</v>
      </c>
      <c r="P7" s="221">
        <v>0.04</v>
      </c>
      <c r="Q7" s="222">
        <v>0.01</v>
      </c>
      <c r="R7" s="222">
        <v>0.05</v>
      </c>
      <c r="S7" s="224" t="b">
        <f>AND($T$5&gt;=N7,$T$5&lt;N8)</f>
        <v>0</v>
      </c>
    </row>
    <row r="8" spans="1:34" ht="21" customHeight="1" x14ac:dyDescent="0.3">
      <c r="A8" s="68"/>
      <c r="B8" s="68"/>
      <c r="C8" s="68"/>
      <c r="D8" s="68"/>
      <c r="F8" s="49" t="s">
        <v>4</v>
      </c>
      <c r="G8" s="158"/>
      <c r="H8" s="68"/>
      <c r="I8" s="67"/>
      <c r="N8" s="220">
        <v>75000</v>
      </c>
      <c r="O8" s="220">
        <v>1000000</v>
      </c>
      <c r="P8" s="221">
        <v>0.05</v>
      </c>
      <c r="Q8" s="222">
        <v>0.01</v>
      </c>
      <c r="R8" s="222">
        <v>0.06</v>
      </c>
      <c r="S8" s="224" t="b">
        <f>AND($T$5&gt;=N8)</f>
        <v>0</v>
      </c>
    </row>
    <row r="9" spans="1:34" ht="21" customHeight="1" x14ac:dyDescent="0.3">
      <c r="A9" s="68"/>
      <c r="B9" s="68"/>
      <c r="C9" s="68"/>
      <c r="D9" s="68"/>
      <c r="F9" s="49" t="s">
        <v>5</v>
      </c>
      <c r="G9" s="157"/>
      <c r="H9" s="68"/>
      <c r="I9" s="67"/>
    </row>
    <row r="10" spans="1:34" ht="21" customHeight="1" x14ac:dyDescent="0.3">
      <c r="A10" s="68"/>
      <c r="B10" s="68"/>
      <c r="C10" s="68"/>
      <c r="D10" s="68"/>
      <c r="F10" s="96" t="s">
        <v>152</v>
      </c>
      <c r="G10" s="157" t="s">
        <v>155</v>
      </c>
      <c r="H10" s="68"/>
      <c r="I10" s="67"/>
      <c r="N10" s="175" t="s">
        <v>199</v>
      </c>
      <c r="O10" s="230" t="s">
        <v>150</v>
      </c>
    </row>
    <row r="11" spans="1:34" ht="18" customHeight="1" thickBot="1" x14ac:dyDescent="0.35">
      <c r="A11" s="68"/>
      <c r="B11" s="68"/>
      <c r="C11" s="68"/>
      <c r="D11" s="68"/>
      <c r="F11" s="69"/>
      <c r="G11" s="68"/>
      <c r="H11" s="68"/>
      <c r="I11" s="68"/>
      <c r="J11" s="62"/>
      <c r="K11" s="62"/>
      <c r="L11" s="68"/>
      <c r="M11" s="68"/>
      <c r="N11" s="68"/>
      <c r="O11" s="68"/>
    </row>
    <row r="12" spans="1:34" ht="18" customHeight="1" x14ac:dyDescent="0.3">
      <c r="A12" s="68"/>
      <c r="B12" s="68"/>
      <c r="C12" s="68"/>
      <c r="D12" s="68"/>
      <c r="F12" s="69"/>
      <c r="G12" s="68"/>
      <c r="H12" s="68"/>
      <c r="I12" s="68"/>
      <c r="J12" s="97"/>
      <c r="K12" s="62"/>
      <c r="L12" s="68"/>
      <c r="M12" s="68"/>
      <c r="N12" s="291" t="s">
        <v>200</v>
      </c>
      <c r="O12" s="292"/>
    </row>
    <row r="13" spans="1:34" ht="16" customHeight="1" thickBot="1" x14ac:dyDescent="0.35">
      <c r="A13" s="70" t="s">
        <v>58</v>
      </c>
      <c r="B13" s="70"/>
      <c r="C13" s="70"/>
      <c r="D13" s="70"/>
      <c r="H13" s="68"/>
      <c r="I13" s="68"/>
      <c r="J13" s="62"/>
      <c r="K13" s="62"/>
      <c r="L13" s="68"/>
      <c r="M13" s="68"/>
      <c r="N13" s="293"/>
      <c r="O13" s="294"/>
      <c r="P13" s="62"/>
      <c r="Q13" s="62"/>
    </row>
    <row r="14" spans="1:34" ht="18.649999999999999" customHeight="1" x14ac:dyDescent="0.3">
      <c r="A14" s="272" t="s">
        <v>59</v>
      </c>
      <c r="B14" s="234" t="s">
        <v>157</v>
      </c>
      <c r="C14" s="234" t="s">
        <v>158</v>
      </c>
      <c r="D14" s="237" t="s">
        <v>159</v>
      </c>
      <c r="F14" s="262" t="s">
        <v>169</v>
      </c>
      <c r="G14" s="244" t="s">
        <v>6</v>
      </c>
      <c r="H14" s="240" t="s">
        <v>185</v>
      </c>
      <c r="I14" s="265" t="s">
        <v>7</v>
      </c>
      <c r="J14" s="268" t="s">
        <v>215</v>
      </c>
      <c r="K14" s="268" t="s">
        <v>8</v>
      </c>
      <c r="L14" s="275" t="s">
        <v>180</v>
      </c>
      <c r="M14" s="268" t="s">
        <v>181</v>
      </c>
      <c r="N14" s="288" t="s">
        <v>162</v>
      </c>
      <c r="O14" s="288" t="s">
        <v>160</v>
      </c>
      <c r="P14" s="275" t="s">
        <v>166</v>
      </c>
      <c r="Q14" s="285" t="s">
        <v>9</v>
      </c>
    </row>
    <row r="15" spans="1:34" ht="31.5" customHeight="1" x14ac:dyDescent="0.3">
      <c r="A15" s="273"/>
      <c r="B15" s="235"/>
      <c r="C15" s="235"/>
      <c r="D15" s="238"/>
      <c r="F15" s="263"/>
      <c r="G15" s="245"/>
      <c r="H15" s="241"/>
      <c r="I15" s="266"/>
      <c r="J15" s="269"/>
      <c r="K15" s="269"/>
      <c r="L15" s="276"/>
      <c r="M15" s="269"/>
      <c r="N15" s="289"/>
      <c r="O15" s="289"/>
      <c r="P15" s="276"/>
      <c r="Q15" s="286"/>
    </row>
    <row r="16" spans="1:34" ht="24" customHeight="1" thickBot="1" x14ac:dyDescent="0.35">
      <c r="A16" s="274"/>
      <c r="B16" s="236"/>
      <c r="C16" s="236"/>
      <c r="D16" s="239"/>
      <c r="F16" s="264"/>
      <c r="G16" s="246"/>
      <c r="H16" s="242"/>
      <c r="I16" s="267"/>
      <c r="J16" s="270"/>
      <c r="K16" s="270"/>
      <c r="L16" s="277"/>
      <c r="M16" s="270"/>
      <c r="N16" s="174" t="str">
        <f>IF(M5=TRUE,L5,IF(M6=TRUE,L6,IF(M7=TRUE,L7,"n/a")))</f>
        <v>n/a</v>
      </c>
      <c r="O16" s="174" t="str">
        <f>IFERROR(INDEX($P$5:$P$8,MATCH(TRUE,$S$5:S8,0))+IF(O10="yes",0.01,0),"n/a")</f>
        <v>n/a</v>
      </c>
      <c r="P16" s="277"/>
      <c r="Q16" s="287"/>
    </row>
    <row r="17" spans="1:24" ht="18.75" customHeight="1" x14ac:dyDescent="0.3">
      <c r="A17" s="99" t="s">
        <v>101</v>
      </c>
      <c r="B17" s="91" t="str">
        <f>A17&amp;"-1"</f>
        <v>D00000903-1</v>
      </c>
      <c r="C17" s="282">
        <v>16</v>
      </c>
      <c r="D17" s="243" t="b">
        <f>OR(I17&gt;=C17,I18&gt;=C17,I19&gt;=C17)</f>
        <v>0</v>
      </c>
      <c r="F17" s="173"/>
      <c r="G17" s="248" t="s">
        <v>174</v>
      </c>
      <c r="H17" s="225" t="s">
        <v>138</v>
      </c>
      <c r="I17" s="204"/>
      <c r="J17" s="226">
        <f>IF($G$10=$AH$3,INDEX(PRICING[2025 In-Season Price],MATCH(B17,PRICING[Lookup],0)),
IF($G$10=$AH$4,INDEX(PRICING[CA In-season Price],MATCH(B17,PRICING[Lookup],0)),
IF($G$10=$AH$5,INDEX(PRICING[WA In-season Price],MATCH(B17,PRICING[Lookup],0)),"")))</f>
        <v>437.2</v>
      </c>
      <c r="K17" s="227" t="str">
        <f t="shared" ref="K17" si="0">IF(I17*J17= 0,"",I17*J17)</f>
        <v/>
      </c>
      <c r="L17" s="227">
        <f>IF($G$10=$AH$3,INDEX(PRICING[NOW Price],MATCH(B17,PRICING[Lookup],0)),
IF($G$10=$AH$4,INDEX(PRICING[CA NOW Price],MATCH(B17,PRICING[Lookup],0)),
IF($G$10=$AH$5,INDEX(PRICING[WA NOW Price],MATCH(B17,PRICING[Lookup],0)),"")))</f>
        <v>437.2</v>
      </c>
      <c r="M17" s="227" t="str">
        <f t="shared" ref="M17" si="1">IF(I17*L17= 0,"",I17*L17)</f>
        <v/>
      </c>
      <c r="N17" s="228" t="str">
        <f>IFERROR(IF(I17="","",$N$16*M17),"")</f>
        <v/>
      </c>
      <c r="O17" s="228" t="str">
        <f>IFERROR(IF(I17="","",$O$16*M17),"")</f>
        <v/>
      </c>
      <c r="P17" s="227" t="str">
        <f t="shared" ref="P17:P20" si="2">IFERROR((M17-SUM(N17:O17))/I17,"")</f>
        <v/>
      </c>
      <c r="Q17" s="227" t="str">
        <f t="shared" ref="Q17:Q34" si="3">IF(AND(I17&lt;&gt;"",I17&gt;0), I17*P17,"")</f>
        <v/>
      </c>
    </row>
    <row r="18" spans="1:24" ht="18.75" customHeight="1" x14ac:dyDescent="0.3">
      <c r="A18" s="100" t="s">
        <v>101</v>
      </c>
      <c r="B18" s="91" t="str">
        <f>A18&amp;"-2"</f>
        <v>D00000903-2</v>
      </c>
      <c r="C18" s="282"/>
      <c r="D18" s="243"/>
      <c r="F18" s="169" t="s">
        <v>170</v>
      </c>
      <c r="G18" s="247"/>
      <c r="H18" s="186" t="s">
        <v>139</v>
      </c>
      <c r="I18" s="187"/>
      <c r="J18" s="190">
        <f>IF($G$10=$AH$3,INDEX(PRICING[2025 In-Season Price],MATCH(B18,PRICING[Lookup],0)),
IF($G$10=$AH$4,INDEX(PRICING[CA In-season Price],MATCH(B18,PRICING[Lookup],0)),
IF($G$10=$AH$5,INDEX(PRICING[WA In-season Price],MATCH(B18,PRICING[Lookup],0)),"")))</f>
        <v>437.2</v>
      </c>
      <c r="K18" s="188" t="str">
        <f t="shared" ref="K18:K34" si="4">IF(I18*J18= 0,"",I18*J18)</f>
        <v/>
      </c>
      <c r="L18" s="188">
        <f>IF($G$10=$AH$3,INDEX(PRICING[NOW Price],MATCH(B18,PRICING[Lookup],0)),
IF($G$10=$AH$4,INDEX(PRICING[CA NOW Price],MATCH(B18,PRICING[Lookup],0)),
IF($G$10=$AH$5,INDEX(PRICING[WA NOW Price],MATCH(B18,PRICING[Lookup],0)),"")))</f>
        <v>415.36</v>
      </c>
      <c r="M18" s="188" t="str">
        <f t="shared" ref="M18:M34" si="5">IF(I18*L18= 0,"",I18*L18)</f>
        <v/>
      </c>
      <c r="N18" s="189" t="str">
        <f t="shared" ref="N18:N34" si="6">IFERROR(IF(I18="","",$N$16*M18),"")</f>
        <v/>
      </c>
      <c r="O18" s="189" t="str">
        <f t="shared" ref="O18:O34" si="7">IFERROR(IF(I18="","",$O$16*M18),"")</f>
        <v/>
      </c>
      <c r="P18" s="188" t="str">
        <f t="shared" si="2"/>
        <v/>
      </c>
      <c r="Q18" s="188" t="str">
        <f t="shared" si="3"/>
        <v/>
      </c>
    </row>
    <row r="19" spans="1:24" ht="18.75" customHeight="1" x14ac:dyDescent="0.3">
      <c r="A19" s="100" t="s">
        <v>101</v>
      </c>
      <c r="B19" s="91" t="str">
        <f>A19&amp;"-3"</f>
        <v>D00000903-3</v>
      </c>
      <c r="C19" s="282"/>
      <c r="D19" s="243"/>
      <c r="F19" s="170"/>
      <c r="G19" s="247"/>
      <c r="H19" s="186" t="s">
        <v>140</v>
      </c>
      <c r="I19" s="187"/>
      <c r="J19" s="190">
        <f>IF($G$10=$AH$3,INDEX(PRICING[2025 In-Season Price],MATCH(B19,PRICING[Lookup],0)),
IF($G$10=$AH$4,INDEX(PRICING[CA In-season Price],MATCH(B19,PRICING[Lookup],0)),
IF($G$10=$AH$5,INDEX(PRICING[WA In-season Price],MATCH(B19,PRICING[Lookup],0)),"")))</f>
        <v>437.2</v>
      </c>
      <c r="K19" s="188" t="str">
        <f t="shared" si="4"/>
        <v/>
      </c>
      <c r="L19" s="188">
        <f>IF($G$10=$AH$3,INDEX(PRICING[NOW Price],MATCH(B19,PRICING[Lookup],0)),
IF($G$10=$AH$4,INDEX(PRICING[CA NOW Price],MATCH(B19,PRICING[Lookup],0)),
IF($G$10=$AH$5,INDEX(PRICING[WA NOW Price],MATCH(B19,PRICING[Lookup],0)),"")))</f>
        <v>393.6</v>
      </c>
      <c r="M19" s="188" t="str">
        <f t="shared" si="5"/>
        <v/>
      </c>
      <c r="N19" s="189" t="str">
        <f t="shared" si="6"/>
        <v/>
      </c>
      <c r="O19" s="189" t="str">
        <f t="shared" si="7"/>
        <v/>
      </c>
      <c r="P19" s="188" t="str">
        <f t="shared" si="2"/>
        <v/>
      </c>
      <c r="Q19" s="188" t="str">
        <f t="shared" si="3"/>
        <v/>
      </c>
      <c r="W19" s="71"/>
      <c r="X19" s="67"/>
    </row>
    <row r="20" spans="1:24" ht="18.75" customHeight="1" x14ac:dyDescent="0.3">
      <c r="A20" s="100" t="s">
        <v>115</v>
      </c>
      <c r="B20" s="91" t="str">
        <f t="shared" ref="B20" si="8">A20&amp;"-1"</f>
        <v>D00000908-1</v>
      </c>
      <c r="C20" s="282">
        <v>16</v>
      </c>
      <c r="D20" s="243" t="b">
        <f>OR(I20&gt;=C20,I21&gt;=C20,I22&gt;=C20)</f>
        <v>0</v>
      </c>
      <c r="F20" s="171"/>
      <c r="G20" s="247" t="s">
        <v>175</v>
      </c>
      <c r="H20" s="186" t="s">
        <v>138</v>
      </c>
      <c r="I20" s="187"/>
      <c r="J20" s="188">
        <f>IF($G$10=$AH$3,INDEX(PRICING[2025 In-Season Price],MATCH(B20,PRICING[Lookup],0)),
IF($G$10=$AH$4,INDEX(PRICING[CA In-season Price],MATCH(B20,PRICING[Lookup],0)),
IF($G$10=$AH$5,INDEX(PRICING[WA In-season Price],MATCH(B20,PRICING[Lookup],0)),"")))</f>
        <v>250</v>
      </c>
      <c r="K20" s="188" t="str">
        <f t="shared" si="4"/>
        <v/>
      </c>
      <c r="L20" s="188">
        <f>IF($G$10=$AH$3,INDEX(PRICING[NOW Price],MATCH(B20,PRICING[Lookup],0)),
IF($G$10=$AH$4,INDEX(PRICING[CA NOW Price],MATCH(B20,PRICING[Lookup],0)),
IF($G$10=$AH$5,INDEX(PRICING[WA NOW Price],MATCH(B20,PRICING[Lookup],0)),"")))</f>
        <v>250</v>
      </c>
      <c r="M20" s="188" t="str">
        <f t="shared" si="5"/>
        <v/>
      </c>
      <c r="N20" s="189" t="str">
        <f t="shared" si="6"/>
        <v/>
      </c>
      <c r="O20" s="189" t="str">
        <f t="shared" si="7"/>
        <v/>
      </c>
      <c r="P20" s="188" t="str">
        <f t="shared" si="2"/>
        <v/>
      </c>
      <c r="Q20" s="188" t="str">
        <f t="shared" si="3"/>
        <v/>
      </c>
      <c r="W20" s="71"/>
    </row>
    <row r="21" spans="1:24" ht="18.75" customHeight="1" x14ac:dyDescent="0.3">
      <c r="A21" s="100" t="s">
        <v>115</v>
      </c>
      <c r="B21" s="91" t="str">
        <f t="shared" ref="B21" si="9">A21&amp;"-2"</f>
        <v>D00000908-2</v>
      </c>
      <c r="C21" s="282"/>
      <c r="D21" s="243"/>
      <c r="F21" s="169" t="s">
        <v>170</v>
      </c>
      <c r="G21" s="247"/>
      <c r="H21" s="186" t="s">
        <v>139</v>
      </c>
      <c r="I21" s="187"/>
      <c r="J21" s="190">
        <f>IF($G$10=$AH$3,INDEX(PRICING[2025 In-Season Price],MATCH(B21,PRICING[Lookup],0)),
IF($G$10=$AH$4,INDEX(PRICING[CA In-season Price],MATCH(B21,PRICING[Lookup],0)),
IF($G$10=$AH$5,INDEX(PRICING[WA In-season Price],MATCH(B21,PRICING[Lookup],0)),"")))</f>
        <v>250</v>
      </c>
      <c r="K21" s="188" t="str">
        <f t="shared" si="4"/>
        <v/>
      </c>
      <c r="L21" s="188">
        <f>IF($G$10=$AH$3,INDEX(PRICING[NOW Price],MATCH(B21,PRICING[Lookup],0)),
IF($G$10=$AH$4,INDEX(PRICING[CA NOW Price],MATCH(B21,PRICING[Lookup],0)),
IF($G$10=$AH$5,INDEX(PRICING[WA NOW Price],MATCH(B21,PRICING[Lookup],0)),"")))</f>
        <v>237.48</v>
      </c>
      <c r="M21" s="188" t="str">
        <f>IF(I21*L21= 0,"",I21*L21)</f>
        <v/>
      </c>
      <c r="N21" s="189" t="str">
        <f t="shared" si="6"/>
        <v/>
      </c>
      <c r="O21" s="189" t="str">
        <f t="shared" si="7"/>
        <v/>
      </c>
      <c r="P21" s="188" t="str">
        <f>IFERROR((M21-SUM(N21:O21))/I21,"")</f>
        <v/>
      </c>
      <c r="Q21" s="188" t="str">
        <f t="shared" si="3"/>
        <v/>
      </c>
      <c r="W21" s="71"/>
    </row>
    <row r="22" spans="1:24" ht="18.75" customHeight="1" x14ac:dyDescent="0.3">
      <c r="A22" s="100" t="s">
        <v>115</v>
      </c>
      <c r="B22" s="91" t="str">
        <f t="shared" ref="B22" si="10">A22&amp;"-3"</f>
        <v>D00000908-3</v>
      </c>
      <c r="C22" s="282"/>
      <c r="D22" s="243"/>
      <c r="F22" s="172"/>
      <c r="G22" s="247"/>
      <c r="H22" s="186" t="s">
        <v>140</v>
      </c>
      <c r="I22" s="187"/>
      <c r="J22" s="190">
        <f>IF($G$10=$AH$3,INDEX(PRICING[2025 In-Season Price],MATCH(B22,PRICING[Lookup],0)),
IF($G$10=$AH$4,INDEX(PRICING[CA In-season Price],MATCH(B22,PRICING[Lookup],0)),
IF($G$10=$AH$5,INDEX(PRICING[WA In-season Price],MATCH(B22,PRICING[Lookup],0)),"")))</f>
        <v>250</v>
      </c>
      <c r="K22" s="188" t="str">
        <f t="shared" si="4"/>
        <v/>
      </c>
      <c r="L22" s="188">
        <f>IF($G$10=$AH$3,INDEX(PRICING[NOW Price],MATCH(B22,PRICING[Lookup],0)),
IF($G$10=$AH$4,INDEX(PRICING[CA NOW Price],MATCH(B22,PRICING[Lookup],0)),
IF($G$10=$AH$5,INDEX(PRICING[WA NOW Price],MATCH(B22,PRICING[Lookup],0)),"")))</f>
        <v>225</v>
      </c>
      <c r="M22" s="188" t="str">
        <f t="shared" si="5"/>
        <v/>
      </c>
      <c r="N22" s="189" t="str">
        <f t="shared" si="6"/>
        <v/>
      </c>
      <c r="O22" s="189" t="str">
        <f t="shared" si="7"/>
        <v/>
      </c>
      <c r="P22" s="188" t="str">
        <f t="shared" ref="P22:P34" si="11">IFERROR((M22-SUM(N22:O22))/I22,"")</f>
        <v/>
      </c>
      <c r="Q22" s="188" t="str">
        <f t="shared" si="3"/>
        <v/>
      </c>
      <c r="W22" s="71"/>
    </row>
    <row r="23" spans="1:24" ht="18.75" customHeight="1" x14ac:dyDescent="0.3">
      <c r="A23" s="100" t="s">
        <v>120</v>
      </c>
      <c r="B23" s="91" t="str">
        <f t="shared" ref="B23" si="12">A23&amp;"-1"</f>
        <v>D00001272-1</v>
      </c>
      <c r="C23" s="282">
        <v>8</v>
      </c>
      <c r="D23" s="243" t="b">
        <f>OR(I23&gt;=C23,I24&gt;=C23,I25&gt;=C23)</f>
        <v>0</v>
      </c>
      <c r="F23" s="171"/>
      <c r="G23" s="247" t="s">
        <v>176</v>
      </c>
      <c r="H23" s="186" t="s">
        <v>141</v>
      </c>
      <c r="I23" s="187"/>
      <c r="J23" s="188">
        <f>IF($G$10=$AH$3,INDEX(PRICING[2025 In-Season Price],MATCH(B23,PRICING[Lookup],0)),
IF($G$10=$AH$4,INDEX(PRICING[CA In-season Price],MATCH(B23,PRICING[Lookup],0)),
IF($G$10=$AH$5,INDEX(PRICING[WA In-season Price],MATCH(B23,PRICING[Lookup],0)),"")))</f>
        <v>744</v>
      </c>
      <c r="K23" s="188" t="str">
        <f>IF(I23*J23= 0,"",I23*J23)</f>
        <v/>
      </c>
      <c r="L23" s="188">
        <f>IF($G$10=$AH$3,INDEX(PRICING[NOW Price],MATCH(B23,PRICING[Lookup],0)),
IF($G$10=$AH$4,INDEX(PRICING[CA NOW Price],MATCH(B23,PRICING[Lookup],0)),
IF($G$10=$AH$5,INDEX(PRICING[WA NOW Price],MATCH(B23,PRICING[Lookup],0)),"")))</f>
        <v>744</v>
      </c>
      <c r="M23" s="188" t="str">
        <f>IF(I23*L23= 0,"",I23*L23)</f>
        <v/>
      </c>
      <c r="N23" s="189" t="str">
        <f t="shared" si="6"/>
        <v/>
      </c>
      <c r="O23" s="189" t="str">
        <f t="shared" si="7"/>
        <v/>
      </c>
      <c r="P23" s="188" t="str">
        <f t="shared" si="11"/>
        <v/>
      </c>
      <c r="Q23" s="188" t="str">
        <f t="shared" si="3"/>
        <v/>
      </c>
      <c r="W23" s="71"/>
      <c r="X23" s="67"/>
    </row>
    <row r="24" spans="1:24" ht="18.75" customHeight="1" x14ac:dyDescent="0.3">
      <c r="A24" s="100" t="s">
        <v>120</v>
      </c>
      <c r="B24" s="91" t="str">
        <f t="shared" ref="B24" si="13">A24&amp;"-2"</f>
        <v>D00001272-2</v>
      </c>
      <c r="C24" s="282"/>
      <c r="D24" s="243"/>
      <c r="F24" s="169" t="s">
        <v>171</v>
      </c>
      <c r="G24" s="247"/>
      <c r="H24" s="186" t="s">
        <v>142</v>
      </c>
      <c r="I24" s="187"/>
      <c r="J24" s="190">
        <f>IF($G$10=$AH$3,INDEX(PRICING[2025 In-Season Price],MATCH(B24,PRICING[Lookup],0)),
IF($G$10=$AH$4,INDEX(PRICING[CA In-season Price],MATCH(B24,PRICING[Lookup],0)),
IF($G$10=$AH$5,INDEX(PRICING[WA In-season Price],MATCH(B24,PRICING[Lookup],0)),"")))</f>
        <v>744</v>
      </c>
      <c r="K24" s="188" t="str">
        <f>IF(I24*J24= 0,"",I24*J24)</f>
        <v/>
      </c>
      <c r="L24" s="188">
        <f>IF($G$10=$AH$3,INDEX(PRICING[NOW Price],MATCH(B24,PRICING[Lookup],0)),
IF($G$10=$AH$4,INDEX(PRICING[CA NOW Price],MATCH(B24,PRICING[Lookup],0)),
IF($G$10=$AH$5,INDEX(PRICING[WA NOW Price],MATCH(B24,PRICING[Lookup],0)),"")))</f>
        <v>706.88</v>
      </c>
      <c r="M24" s="188" t="str">
        <f>IF(I24*L24= 0,"",I24*L24)</f>
        <v/>
      </c>
      <c r="N24" s="189" t="str">
        <f t="shared" si="6"/>
        <v/>
      </c>
      <c r="O24" s="189" t="str">
        <f t="shared" si="7"/>
        <v/>
      </c>
      <c r="P24" s="188" t="str">
        <f t="shared" si="11"/>
        <v/>
      </c>
      <c r="Q24" s="188" t="str">
        <f t="shared" si="3"/>
        <v/>
      </c>
      <c r="W24" s="71"/>
      <c r="X24" s="67"/>
    </row>
    <row r="25" spans="1:24" ht="18.75" customHeight="1" x14ac:dyDescent="0.3">
      <c r="A25" s="100" t="s">
        <v>120</v>
      </c>
      <c r="B25" s="91" t="str">
        <f t="shared" ref="B25" si="14">A25&amp;"-3"</f>
        <v>D00001272-3</v>
      </c>
      <c r="C25" s="282"/>
      <c r="D25" s="243"/>
      <c r="F25" s="172"/>
      <c r="G25" s="247"/>
      <c r="H25" s="186" t="s">
        <v>143</v>
      </c>
      <c r="I25" s="187"/>
      <c r="J25" s="190">
        <f>IF($G$10=$AH$3,INDEX(PRICING[2025 In-Season Price],MATCH(B25,PRICING[Lookup],0)),
IF($G$10=$AH$4,INDEX(PRICING[CA In-season Price],MATCH(B25,PRICING[Lookup],0)),
IF($G$10=$AH$5,INDEX(PRICING[WA In-season Price],MATCH(B25,PRICING[Lookup],0)),"")))</f>
        <v>744</v>
      </c>
      <c r="K25" s="188" t="str">
        <f t="shared" si="4"/>
        <v/>
      </c>
      <c r="L25" s="188">
        <f>IF($G$10=$AH$3,INDEX(PRICING[NOW Price],MATCH(B25,PRICING[Lookup],0)),
IF($G$10=$AH$4,INDEX(PRICING[CA NOW Price],MATCH(B25,PRICING[Lookup],0)),
IF($G$10=$AH$5,INDEX(PRICING[WA NOW Price],MATCH(B25,PRICING[Lookup],0)),"")))</f>
        <v>669.6</v>
      </c>
      <c r="M25" s="188" t="str">
        <f t="shared" si="5"/>
        <v/>
      </c>
      <c r="N25" s="189" t="str">
        <f t="shared" si="6"/>
        <v/>
      </c>
      <c r="O25" s="189" t="str">
        <f t="shared" si="7"/>
        <v/>
      </c>
      <c r="P25" s="188" t="str">
        <f t="shared" si="11"/>
        <v/>
      </c>
      <c r="Q25" s="188" t="str">
        <f t="shared" si="3"/>
        <v/>
      </c>
      <c r="W25" s="71"/>
    </row>
    <row r="26" spans="1:24" ht="18.75" customHeight="1" x14ac:dyDescent="0.3">
      <c r="A26" s="100" t="s">
        <v>123</v>
      </c>
      <c r="B26" s="91" t="str">
        <f t="shared" ref="B26" si="15">A26&amp;"-1"</f>
        <v>D00000946-1</v>
      </c>
      <c r="C26" s="282">
        <v>8</v>
      </c>
      <c r="D26" s="243" t="b">
        <f>OR(I26&gt;=C26,I27&gt;=C26,I28&gt;=C26)</f>
        <v>0</v>
      </c>
      <c r="F26" s="171"/>
      <c r="G26" s="247" t="s">
        <v>177</v>
      </c>
      <c r="H26" s="186" t="s">
        <v>141</v>
      </c>
      <c r="I26" s="187"/>
      <c r="J26" s="188">
        <f>IF($G$10=$AH$3,INDEX(PRICING[2025 In-Season Price],MATCH(B26,PRICING[Lookup],0)),
IF($G$10=$AH$4,INDEX(PRICING[CA In-season Price],MATCH(B26,PRICING[Lookup],0)),
IF($G$10=$AH$5,INDEX(PRICING[WA In-season Price],MATCH(B26,PRICING[Lookup],0)),"")))</f>
        <v>1156.8</v>
      </c>
      <c r="K26" s="188" t="str">
        <f t="shared" si="4"/>
        <v/>
      </c>
      <c r="L26" s="188">
        <f>IF($G$10=$AH$3,INDEX(PRICING[NOW Price],MATCH(B26,PRICING[Lookup],0)),
IF($G$10=$AH$4,INDEX(PRICING[CA NOW Price],MATCH(B26,PRICING[Lookup],0)),
IF($G$10=$AH$5,INDEX(PRICING[WA NOW Price],MATCH(B26,PRICING[Lookup],0)),"")))</f>
        <v>1156.8</v>
      </c>
      <c r="M26" s="188" t="str">
        <f t="shared" si="5"/>
        <v/>
      </c>
      <c r="N26" s="189" t="str">
        <f t="shared" si="6"/>
        <v/>
      </c>
      <c r="O26" s="189" t="str">
        <f t="shared" si="7"/>
        <v/>
      </c>
      <c r="P26" s="188" t="str">
        <f t="shared" si="11"/>
        <v/>
      </c>
      <c r="Q26" s="188" t="str">
        <f t="shared" si="3"/>
        <v/>
      </c>
      <c r="W26" s="71"/>
    </row>
    <row r="27" spans="1:24" ht="18.75" customHeight="1" x14ac:dyDescent="0.3">
      <c r="A27" s="100" t="s">
        <v>123</v>
      </c>
      <c r="B27" s="91" t="str">
        <f t="shared" ref="B27" si="16">A27&amp;"-2"</f>
        <v>D00000946-2</v>
      </c>
      <c r="C27" s="282"/>
      <c r="D27" s="243"/>
      <c r="F27" s="169" t="s">
        <v>171</v>
      </c>
      <c r="G27" s="247"/>
      <c r="H27" s="186" t="s">
        <v>142</v>
      </c>
      <c r="I27" s="187"/>
      <c r="J27" s="190">
        <f>IF($G$10=$AH$3,INDEX(PRICING[2025 In-Season Price],MATCH(B27,PRICING[Lookup],0)),
IF($G$10=$AH$4,INDEX(PRICING[CA In-season Price],MATCH(B27,PRICING[Lookup],0)),
IF($G$10=$AH$5,INDEX(PRICING[WA In-season Price],MATCH(B27,PRICING[Lookup],0)),"")))</f>
        <v>1156.8</v>
      </c>
      <c r="K27" s="188" t="str">
        <f t="shared" si="4"/>
        <v/>
      </c>
      <c r="L27" s="188">
        <f>IF($G$10=$AH$3,INDEX(PRICING[NOW Price],MATCH(B27,PRICING[Lookup],0)),
IF($G$10=$AH$4,INDEX(PRICING[CA NOW Price],MATCH(B27,PRICING[Lookup],0)),
IF($G$10=$AH$5,INDEX(PRICING[WA NOW Price],MATCH(B27,PRICING[Lookup],0)),"")))</f>
        <v>1098.8800000000001</v>
      </c>
      <c r="M27" s="188" t="str">
        <f t="shared" si="5"/>
        <v/>
      </c>
      <c r="N27" s="189" t="str">
        <f t="shared" si="6"/>
        <v/>
      </c>
      <c r="O27" s="189" t="str">
        <f t="shared" si="7"/>
        <v/>
      </c>
      <c r="P27" s="188" t="str">
        <f t="shared" si="11"/>
        <v/>
      </c>
      <c r="Q27" s="188" t="str">
        <f t="shared" si="3"/>
        <v/>
      </c>
      <c r="W27" s="71"/>
    </row>
    <row r="28" spans="1:24" ht="18.75" customHeight="1" x14ac:dyDescent="0.3">
      <c r="A28" s="100" t="s">
        <v>123</v>
      </c>
      <c r="B28" s="91" t="str">
        <f t="shared" ref="B28" si="17">A28&amp;"-3"</f>
        <v>D00000946-3</v>
      </c>
      <c r="C28" s="282"/>
      <c r="D28" s="243"/>
      <c r="F28" s="172"/>
      <c r="G28" s="247"/>
      <c r="H28" s="186" t="s">
        <v>143</v>
      </c>
      <c r="I28" s="187"/>
      <c r="J28" s="190">
        <f>IF($G$10=$AH$3,INDEX(PRICING[2025 In-Season Price],MATCH(B28,PRICING[Lookup],0)),
IF($G$10=$AH$4,INDEX(PRICING[CA In-season Price],MATCH(B28,PRICING[Lookup],0)),
IF($G$10=$AH$5,INDEX(PRICING[WA In-season Price],MATCH(B28,PRICING[Lookup],0)),"")))</f>
        <v>1156.8</v>
      </c>
      <c r="K28" s="188" t="str">
        <f t="shared" si="4"/>
        <v/>
      </c>
      <c r="L28" s="188">
        <f>IF($G$10=$AH$3,INDEX(PRICING[NOW Price],MATCH(B28,PRICING[Lookup],0)),
IF($G$10=$AH$4,INDEX(PRICING[CA NOW Price],MATCH(B28,PRICING[Lookup],0)),
IF($G$10=$AH$5,INDEX(PRICING[WA NOW Price],MATCH(B28,PRICING[Lookup],0)),"")))</f>
        <v>1041.28</v>
      </c>
      <c r="M28" s="188" t="str">
        <f t="shared" si="5"/>
        <v/>
      </c>
      <c r="N28" s="189" t="str">
        <f t="shared" si="6"/>
        <v/>
      </c>
      <c r="O28" s="189" t="str">
        <f t="shared" si="7"/>
        <v/>
      </c>
      <c r="P28" s="188" t="str">
        <f t="shared" si="11"/>
        <v/>
      </c>
      <c r="Q28" s="188" t="str">
        <f t="shared" si="3"/>
        <v/>
      </c>
      <c r="W28" s="71"/>
      <c r="X28" s="67"/>
    </row>
    <row r="29" spans="1:24" ht="18.75" customHeight="1" x14ac:dyDescent="0.3">
      <c r="A29" s="100" t="s">
        <v>126</v>
      </c>
      <c r="B29" s="91" t="str">
        <f t="shared" ref="B29" si="18">A29&amp;"-1"</f>
        <v>D00000945-1</v>
      </c>
      <c r="C29" s="282">
        <v>40</v>
      </c>
      <c r="D29" s="243" t="b">
        <f>OR(I29&gt;=C29,I30&gt;=C29,I31&gt;=C29)</f>
        <v>0</v>
      </c>
      <c r="F29" s="171"/>
      <c r="G29" s="247" t="s">
        <v>178</v>
      </c>
      <c r="H29" s="186" t="s">
        <v>144</v>
      </c>
      <c r="I29" s="187"/>
      <c r="J29" s="188">
        <f>IF($G$10=$AH$3,INDEX(PRICING[2025 In-Season Price],MATCH(B29,PRICING[Lookup],0)),
IF($G$10=$AH$4,INDEX(PRICING[CA In-season Price],MATCH(B29,PRICING[Lookup],0)),
IF($G$10=$AH$5,INDEX(PRICING[WA In-season Price],MATCH(B29,PRICING[Lookup],0)),"")))</f>
        <v>126.5</v>
      </c>
      <c r="K29" s="188" t="str">
        <f t="shared" si="4"/>
        <v/>
      </c>
      <c r="L29" s="188">
        <f>IF($G$10=$AH$3,INDEX(PRICING[NOW Price],MATCH(B29,PRICING[Lookup],0)),
IF($G$10=$AH$4,INDEX(PRICING[CA NOW Price],MATCH(B29,PRICING[Lookup],0)),
IF($G$10=$AH$5,INDEX(PRICING[WA NOW Price],MATCH(B29,PRICING[Lookup],0)),"")))</f>
        <v>126.5</v>
      </c>
      <c r="M29" s="188" t="str">
        <f t="shared" si="5"/>
        <v/>
      </c>
      <c r="N29" s="189" t="str">
        <f t="shared" si="6"/>
        <v/>
      </c>
      <c r="O29" s="189" t="str">
        <f t="shared" si="7"/>
        <v/>
      </c>
      <c r="P29" s="188" t="str">
        <f t="shared" si="11"/>
        <v/>
      </c>
      <c r="Q29" s="188" t="str">
        <f t="shared" si="3"/>
        <v/>
      </c>
    </row>
    <row r="30" spans="1:24" ht="18.75" customHeight="1" x14ac:dyDescent="0.3">
      <c r="A30" s="100" t="s">
        <v>126</v>
      </c>
      <c r="B30" s="91" t="str">
        <f t="shared" ref="B30" si="19">A30&amp;"-2"</f>
        <v>D00000945-2</v>
      </c>
      <c r="C30" s="282"/>
      <c r="D30" s="243"/>
      <c r="F30" s="169" t="s">
        <v>172</v>
      </c>
      <c r="G30" s="247"/>
      <c r="H30" s="186" t="s">
        <v>145</v>
      </c>
      <c r="I30" s="187"/>
      <c r="J30" s="190">
        <f>IF($G$10=$AH$3,INDEX(PRICING[2025 In-Season Price],MATCH(B30,PRICING[Lookup],0)),
IF($G$10=$AH$4,INDEX(PRICING[CA In-season Price],MATCH(B30,PRICING[Lookup],0)),
IF($G$10=$AH$5,INDEX(PRICING[WA In-season Price],MATCH(B30,PRICING[Lookup],0)),"")))</f>
        <v>126.5</v>
      </c>
      <c r="K30" s="188" t="str">
        <f t="shared" si="4"/>
        <v/>
      </c>
      <c r="L30" s="188">
        <f>IF($G$10=$AH$3,INDEX(PRICING[NOW Price],MATCH(B30,PRICING[Lookup],0)),
IF($G$10=$AH$4,INDEX(PRICING[CA NOW Price],MATCH(B30,PRICING[Lookup],0)),
IF($G$10=$AH$5,INDEX(PRICING[WA NOW Price],MATCH(B30,PRICING[Lookup],0)),"")))</f>
        <v>120</v>
      </c>
      <c r="M30" s="188" t="str">
        <f t="shared" si="5"/>
        <v/>
      </c>
      <c r="N30" s="189" t="str">
        <f t="shared" si="6"/>
        <v/>
      </c>
      <c r="O30" s="189" t="str">
        <f t="shared" si="7"/>
        <v/>
      </c>
      <c r="P30" s="188" t="str">
        <f t="shared" si="11"/>
        <v/>
      </c>
      <c r="Q30" s="188" t="str">
        <f t="shared" si="3"/>
        <v/>
      </c>
    </row>
    <row r="31" spans="1:24" ht="18.75" customHeight="1" x14ac:dyDescent="0.3">
      <c r="A31" s="100" t="s">
        <v>126</v>
      </c>
      <c r="B31" s="91" t="str">
        <f t="shared" ref="B31" si="20">A31&amp;"-3"</f>
        <v>D00000945-3</v>
      </c>
      <c r="C31" s="282"/>
      <c r="D31" s="243"/>
      <c r="F31" s="172"/>
      <c r="G31" s="247"/>
      <c r="H31" s="186" t="s">
        <v>146</v>
      </c>
      <c r="I31" s="187"/>
      <c r="J31" s="190">
        <f>IF($G$10=$AH$3,INDEX(PRICING[2025 In-Season Price],MATCH(B31,PRICING[Lookup],0)),
IF($G$10=$AH$4,INDEX(PRICING[CA In-season Price],MATCH(B31,PRICING[Lookup],0)),
IF($G$10=$AH$5,INDEX(PRICING[WA In-season Price],MATCH(B31,PRICING[Lookup],0)),"")))</f>
        <v>126.5</v>
      </c>
      <c r="K31" s="188" t="str">
        <f t="shared" si="4"/>
        <v/>
      </c>
      <c r="L31" s="188">
        <f>IF($G$10=$AH$3,INDEX(PRICING[NOW Price],MATCH(B31,PRICING[Lookup],0)),
IF($G$10=$AH$4,INDEX(PRICING[CA NOW Price],MATCH(B31,PRICING[Lookup],0)),
IF($G$10=$AH$5,INDEX(PRICING[WA NOW Price],MATCH(B31,PRICING[Lookup],0)),"")))</f>
        <v>114</v>
      </c>
      <c r="M31" s="188" t="str">
        <f t="shared" si="5"/>
        <v/>
      </c>
      <c r="N31" s="189" t="str">
        <f t="shared" si="6"/>
        <v/>
      </c>
      <c r="O31" s="189" t="str">
        <f t="shared" si="7"/>
        <v/>
      </c>
      <c r="P31" s="188" t="str">
        <f t="shared" si="11"/>
        <v/>
      </c>
      <c r="Q31" s="188" t="str">
        <f t="shared" si="3"/>
        <v/>
      </c>
    </row>
    <row r="32" spans="1:24" ht="18.75" customHeight="1" x14ac:dyDescent="0.3">
      <c r="A32" s="100" t="s">
        <v>132</v>
      </c>
      <c r="B32" s="91" t="str">
        <f t="shared" ref="B32" si="21">A32&amp;"-1"</f>
        <v>D00000987-1</v>
      </c>
      <c r="C32" s="282">
        <v>12</v>
      </c>
      <c r="D32" s="243" t="b">
        <f>OR(I32&gt;=C32,I33&gt;=C32,I34&gt;=C32)</f>
        <v>0</v>
      </c>
      <c r="F32" s="171"/>
      <c r="G32" s="247" t="s">
        <v>179</v>
      </c>
      <c r="H32" s="186" t="s">
        <v>147</v>
      </c>
      <c r="I32" s="187"/>
      <c r="J32" s="188">
        <f>IF($G$10=$AH$3,INDEX(PRICING[2025 In-Season Price],MATCH(B32,PRICING[Lookup],0)),
IF($G$10=$AH$4,INDEX(PRICING[CA In-season Price],MATCH(B32,PRICING[Lookup],0)),
IF($G$10=$AH$5,INDEX(PRICING[WA In-season Price],MATCH(B32,PRICING[Lookup],0)),"")))</f>
        <v>384.8</v>
      </c>
      <c r="K32" s="188" t="str">
        <f t="shared" si="4"/>
        <v/>
      </c>
      <c r="L32" s="188">
        <f>IF($G$10=$AH$3,INDEX(PRICING[NOW Price],MATCH(B32,PRICING[Lookup],0)),
IF($G$10=$AH$4,INDEX(PRICING[CA NOW Price],MATCH(B32,PRICING[Lookup],0)),
IF($G$10=$AH$5,INDEX(PRICING[WA NOW Price],MATCH(B32,PRICING[Lookup],0)),"")))</f>
        <v>384.8</v>
      </c>
      <c r="M32" s="188" t="str">
        <f t="shared" si="5"/>
        <v/>
      </c>
      <c r="N32" s="189" t="str">
        <f t="shared" si="6"/>
        <v/>
      </c>
      <c r="O32" s="189" t="str">
        <f t="shared" si="7"/>
        <v/>
      </c>
      <c r="P32" s="188" t="str">
        <f t="shared" si="11"/>
        <v/>
      </c>
      <c r="Q32" s="188" t="str">
        <f t="shared" si="3"/>
        <v/>
      </c>
    </row>
    <row r="33" spans="1:23" ht="18.75" customHeight="1" x14ac:dyDescent="0.3">
      <c r="A33" s="101" t="s">
        <v>132</v>
      </c>
      <c r="B33" s="91" t="str">
        <f t="shared" ref="B33" si="22">A33&amp;"-2"</f>
        <v>D00000987-2</v>
      </c>
      <c r="C33" s="282"/>
      <c r="D33" s="243"/>
      <c r="F33" s="169" t="s">
        <v>173</v>
      </c>
      <c r="G33" s="247"/>
      <c r="H33" s="186" t="s">
        <v>148</v>
      </c>
      <c r="I33" s="187"/>
      <c r="J33" s="190">
        <f>IF($G$10=$AH$3,INDEX(PRICING[2025 In-Season Price],MATCH(B33,PRICING[Lookup],0)),
IF($G$10=$AH$4,INDEX(PRICING[CA In-season Price],MATCH(B33,PRICING[Lookup],0)),
IF($G$10=$AH$5,INDEX(PRICING[WA In-season Price],MATCH(B33,PRICING[Lookup],0)),"")))</f>
        <v>384.8</v>
      </c>
      <c r="K33" s="188" t="str">
        <f t="shared" si="4"/>
        <v/>
      </c>
      <c r="L33" s="188">
        <f>IF($G$10=$AH$3,INDEX(PRICING[NOW Price],MATCH(B33,PRICING[Lookup],0)),
IF($G$10=$AH$4,INDEX(PRICING[CA NOW Price],MATCH(B33,PRICING[Lookup],0)),
IF($G$10=$AH$5,INDEX(PRICING[WA NOW Price],MATCH(B33,PRICING[Lookup],0)),"")))</f>
        <v>365.6</v>
      </c>
      <c r="M33" s="188" t="str">
        <f t="shared" si="5"/>
        <v/>
      </c>
      <c r="N33" s="189" t="str">
        <f t="shared" si="6"/>
        <v/>
      </c>
      <c r="O33" s="189" t="str">
        <f t="shared" si="7"/>
        <v/>
      </c>
      <c r="P33" s="188" t="str">
        <f t="shared" si="11"/>
        <v/>
      </c>
      <c r="Q33" s="188" t="str">
        <f t="shared" si="3"/>
        <v/>
      </c>
    </row>
    <row r="34" spans="1:23" ht="18.75" customHeight="1" thickBot="1" x14ac:dyDescent="0.35">
      <c r="A34" s="101" t="s">
        <v>132</v>
      </c>
      <c r="B34" s="91" t="str">
        <f t="shared" ref="B34" si="23">A34&amp;"-3"</f>
        <v>D00000987-3</v>
      </c>
      <c r="C34" s="282"/>
      <c r="D34" s="243"/>
      <c r="F34" s="176"/>
      <c r="G34" s="247"/>
      <c r="H34" s="186" t="s">
        <v>149</v>
      </c>
      <c r="I34" s="187"/>
      <c r="J34" s="191">
        <f>IF($G$10=$AH$3,INDEX(PRICING[2025 In-Season Price],MATCH(B34,PRICING[Lookup],0)),
IF($G$10=$AH$4,INDEX(PRICING[CA In-season Price],MATCH(B34,PRICING[Lookup],0)),
IF($G$10=$AH$5,INDEX(PRICING[WA In-season Price],MATCH(B34,PRICING[Lookup],0)),"")))</f>
        <v>384.8</v>
      </c>
      <c r="K34" s="188" t="str">
        <f t="shared" si="4"/>
        <v/>
      </c>
      <c r="L34" s="178">
        <f>IF($G$10=$AH$3,INDEX(PRICING[NOW Price],MATCH(B34,PRICING[Lookup],0)),
IF($G$10=$AH$4,INDEX(PRICING[CA NOW Price],MATCH(B34,PRICING[Lookup],0)),
IF($G$10=$AH$5,INDEX(PRICING[WA NOW Price],MATCH(B34,PRICING[Lookup],0)),"")))</f>
        <v>346.32</v>
      </c>
      <c r="M34" s="188" t="str">
        <f t="shared" si="5"/>
        <v/>
      </c>
      <c r="N34" s="189" t="str">
        <f t="shared" si="6"/>
        <v/>
      </c>
      <c r="O34" s="189" t="str">
        <f t="shared" si="7"/>
        <v/>
      </c>
      <c r="P34" s="188" t="str">
        <f t="shared" si="11"/>
        <v/>
      </c>
      <c r="Q34" s="188" t="str">
        <f t="shared" si="3"/>
        <v/>
      </c>
    </row>
    <row r="35" spans="1:23" ht="16.5" customHeight="1" thickBot="1" x14ac:dyDescent="0.35">
      <c r="A35" s="104"/>
      <c r="B35" s="105"/>
      <c r="C35" s="106"/>
      <c r="D35" s="107">
        <f>COUNTIF($D$17:$D$34,TRUE)</f>
        <v>0</v>
      </c>
      <c r="F35" s="177"/>
      <c r="G35" s="180"/>
      <c r="H35" s="180"/>
      <c r="I35" s="181"/>
      <c r="J35" s="182"/>
      <c r="K35" s="183">
        <f>SUM(K17:K34)</f>
        <v>0</v>
      </c>
      <c r="L35" s="182"/>
      <c r="M35" s="183">
        <f>SUM(M17:M34)</f>
        <v>0</v>
      </c>
      <c r="N35" s="183">
        <f>SUM(N17:N34)</f>
        <v>0</v>
      </c>
      <c r="O35" s="183">
        <f>SUM(O17:O34)</f>
        <v>0</v>
      </c>
      <c r="P35" s="183"/>
      <c r="Q35" s="184">
        <f>SUM(Q17:Q34)</f>
        <v>0</v>
      </c>
    </row>
    <row r="37" spans="1:23" s="97" customFormat="1" ht="13.15" customHeight="1" x14ac:dyDescent="0.35">
      <c r="A37" s="102"/>
      <c r="B37" s="98"/>
      <c r="C37" s="98"/>
      <c r="D37" s="103"/>
    </row>
    <row r="38" spans="1:23" s="97" customFormat="1" ht="21.65" customHeight="1" thickBot="1" x14ac:dyDescent="0.4">
      <c r="A38" s="102"/>
      <c r="B38" s="98"/>
      <c r="C38" s="98"/>
      <c r="D38" s="103"/>
      <c r="F38" s="232" t="s">
        <v>211</v>
      </c>
    </row>
    <row r="39" spans="1:23" s="97" customFormat="1" ht="38.25" customHeight="1" thickBot="1" x14ac:dyDescent="0.35">
      <c r="A39" s="102"/>
      <c r="B39" s="98"/>
      <c r="C39" s="98"/>
      <c r="D39" s="103"/>
      <c r="F39" s="206" t="s">
        <v>194</v>
      </c>
      <c r="G39" s="207" t="s">
        <v>6</v>
      </c>
      <c r="H39" s="208" t="s">
        <v>195</v>
      </c>
      <c r="I39" s="209" t="s">
        <v>7</v>
      </c>
      <c r="J39" s="208" t="s">
        <v>214</v>
      </c>
      <c r="K39" s="208" t="s">
        <v>213</v>
      </c>
      <c r="L39" s="208" t="s">
        <v>209</v>
      </c>
      <c r="M39" s="210" t="s">
        <v>210</v>
      </c>
      <c r="N39" s="62"/>
      <c r="O39" s="62"/>
      <c r="P39" s="62"/>
      <c r="Q39" s="62"/>
    </row>
    <row r="40" spans="1:23" ht="23.25" customHeight="1" x14ac:dyDescent="0.3">
      <c r="A40" s="101">
        <v>11008513</v>
      </c>
      <c r="B40" s="91" t="str">
        <f t="shared" ref="B40:B44" si="24">A40&amp;"-1"</f>
        <v>11008513-1</v>
      </c>
      <c r="C40" s="98"/>
      <c r="D40" s="103"/>
      <c r="F40" s="201" t="s">
        <v>196</v>
      </c>
      <c r="G40" s="202" t="s">
        <v>201</v>
      </c>
      <c r="H40" s="203">
        <v>21</v>
      </c>
      <c r="I40" s="204"/>
      <c r="J40" s="203">
        <v>193.38</v>
      </c>
      <c r="K40" s="203" t="str">
        <f>IF(I40="","",I40*J40)</f>
        <v/>
      </c>
      <c r="L40" s="203" t="str">
        <f>IF(I40="","",IF(I40&lt;8,"n/a",J40-H40))</f>
        <v/>
      </c>
      <c r="M40" s="205" t="str">
        <f>IF(I40="","",IF(I40&gt;=8,I40*L40,"n/a"))</f>
        <v/>
      </c>
      <c r="N40" s="192"/>
      <c r="O40" s="62"/>
      <c r="P40" s="62"/>
      <c r="Q40" s="62"/>
      <c r="V40" s="62">
        <f>IF(I40&lt;W40,J40*I40,(J40-H40)*I40)</f>
        <v>0</v>
      </c>
      <c r="W40" s="62">
        <v>8</v>
      </c>
    </row>
    <row r="41" spans="1:23" ht="23.25" customHeight="1" x14ac:dyDescent="0.3">
      <c r="A41" s="101" t="s">
        <v>112</v>
      </c>
      <c r="B41" s="91" t="str">
        <f t="shared" si="24"/>
        <v>D00001274-1</v>
      </c>
      <c r="C41" s="98"/>
      <c r="D41" s="103"/>
      <c r="F41" s="193" t="s">
        <v>197</v>
      </c>
      <c r="G41" s="185" t="s">
        <v>202</v>
      </c>
      <c r="H41" s="178">
        <v>12</v>
      </c>
      <c r="I41" s="187"/>
      <c r="J41" s="178">
        <v>260.10000000000002</v>
      </c>
      <c r="K41" s="178" t="str">
        <f t="shared" ref="K41:K44" si="25">IF(I41="","",I41*J41)</f>
        <v/>
      </c>
      <c r="L41" s="203" t="str">
        <f>IF(I41="","",IF(I41&lt;4,"n/a",J41-H41))</f>
        <v/>
      </c>
      <c r="M41" s="205" t="str">
        <f>IF(I41="","",IF(I41&gt;=4,I41*L41,"n/a"))</f>
        <v/>
      </c>
      <c r="N41" s="62"/>
      <c r="O41" s="62"/>
      <c r="P41" s="62"/>
      <c r="Q41" s="62"/>
      <c r="V41" s="62">
        <f t="shared" ref="V41:V44" si="26">IF(I41&lt;W41,J41*I41,(J41-H41)*I41)</f>
        <v>0</v>
      </c>
      <c r="W41" s="62">
        <v>4</v>
      </c>
    </row>
    <row r="42" spans="1:23" ht="23.25" customHeight="1" x14ac:dyDescent="0.3">
      <c r="A42" s="101" t="s">
        <v>117</v>
      </c>
      <c r="B42" s="91" t="str">
        <f t="shared" si="24"/>
        <v>D00001275-1</v>
      </c>
      <c r="C42" s="98"/>
      <c r="D42" s="103"/>
      <c r="F42" s="193" t="s">
        <v>198</v>
      </c>
      <c r="G42" s="185" t="s">
        <v>203</v>
      </c>
      <c r="H42" s="179">
        <v>50</v>
      </c>
      <c r="I42" s="187"/>
      <c r="J42" s="178">
        <v>329.75</v>
      </c>
      <c r="K42" s="178" t="str">
        <f t="shared" si="25"/>
        <v/>
      </c>
      <c r="L42" s="203" t="str">
        <f t="shared" ref="L42:L44" si="27">IF(I42="","",IF(I42&lt;4,"n/a",J42-H42))</f>
        <v/>
      </c>
      <c r="M42" s="194" t="str">
        <f t="shared" ref="M42:M44" si="28">IF(I42="","",IF(I42&gt;=4,I42*L42,"n/a"))</f>
        <v/>
      </c>
      <c r="N42" s="62"/>
      <c r="O42" s="62"/>
      <c r="P42" s="62"/>
      <c r="Q42" s="62"/>
      <c r="V42" s="62">
        <f t="shared" si="26"/>
        <v>0</v>
      </c>
      <c r="W42" s="62">
        <v>4</v>
      </c>
    </row>
    <row r="43" spans="1:23" ht="23.25" customHeight="1" x14ac:dyDescent="0.3">
      <c r="A43" s="101" t="s">
        <v>136</v>
      </c>
      <c r="B43" s="91" t="str">
        <f t="shared" si="24"/>
        <v>D00001276-1</v>
      </c>
      <c r="C43" s="98"/>
      <c r="D43" s="103"/>
      <c r="F43" s="193" t="s">
        <v>198</v>
      </c>
      <c r="G43" s="185" t="s">
        <v>204</v>
      </c>
      <c r="H43" s="179">
        <v>24</v>
      </c>
      <c r="I43" s="187"/>
      <c r="J43" s="178">
        <v>417.6</v>
      </c>
      <c r="K43" s="178" t="str">
        <f t="shared" si="25"/>
        <v/>
      </c>
      <c r="L43" s="203" t="str">
        <f t="shared" si="27"/>
        <v/>
      </c>
      <c r="M43" s="194" t="str">
        <f t="shared" si="28"/>
        <v/>
      </c>
      <c r="N43" s="62"/>
      <c r="O43" s="62"/>
      <c r="P43" s="62"/>
      <c r="Q43" s="62"/>
      <c r="V43" s="62">
        <f t="shared" si="26"/>
        <v>0</v>
      </c>
      <c r="W43" s="62">
        <v>4</v>
      </c>
    </row>
    <row r="44" spans="1:23" ht="23.25" customHeight="1" thickBot="1" x14ac:dyDescent="0.35">
      <c r="A44" s="101">
        <v>11008457</v>
      </c>
      <c r="B44" s="91" t="str">
        <f t="shared" si="24"/>
        <v>11008457-1</v>
      </c>
      <c r="C44" s="98"/>
      <c r="D44" s="103"/>
      <c r="F44" s="195" t="s">
        <v>198</v>
      </c>
      <c r="G44" s="196" t="s">
        <v>205</v>
      </c>
      <c r="H44" s="197">
        <v>6</v>
      </c>
      <c r="I44" s="198"/>
      <c r="J44" s="199">
        <v>60.72</v>
      </c>
      <c r="K44" s="199" t="str">
        <f t="shared" si="25"/>
        <v/>
      </c>
      <c r="L44" s="233" t="str">
        <f t="shared" si="27"/>
        <v/>
      </c>
      <c r="M44" s="200" t="str">
        <f t="shared" si="28"/>
        <v/>
      </c>
      <c r="N44" s="62"/>
      <c r="O44" s="62"/>
      <c r="P44" s="62"/>
      <c r="Q44" s="62"/>
      <c r="V44" s="62">
        <f t="shared" si="26"/>
        <v>0</v>
      </c>
      <c r="W44" s="62">
        <v>4</v>
      </c>
    </row>
    <row r="45" spans="1:23" ht="27" customHeight="1" x14ac:dyDescent="0.3">
      <c r="I45" s="62"/>
      <c r="J45" s="62"/>
      <c r="K45" s="62"/>
      <c r="L45" s="62"/>
      <c r="M45" s="62"/>
      <c r="N45" s="62"/>
      <c r="O45" s="62"/>
      <c r="P45" s="62"/>
      <c r="Q45" s="62"/>
    </row>
    <row r="46" spans="1:23" ht="13" customHeight="1" x14ac:dyDescent="0.5">
      <c r="H46" s="72"/>
      <c r="I46" s="72"/>
      <c r="P46" s="73"/>
      <c r="Q46" s="73"/>
    </row>
    <row r="47" spans="1:23" ht="22" customHeight="1" thickBot="1" x14ac:dyDescent="0.55000000000000004">
      <c r="F47" s="74" t="s">
        <v>10</v>
      </c>
      <c r="G47" s="74"/>
      <c r="H47" s="74"/>
      <c r="I47" s="74"/>
      <c r="J47" s="72"/>
      <c r="K47" s="72"/>
      <c r="L47" s="72"/>
      <c r="M47" s="73"/>
      <c r="N47" s="73"/>
      <c r="O47" s="73"/>
      <c r="P47" s="73"/>
      <c r="Q47" s="73"/>
    </row>
    <row r="48" spans="1:23" ht="32.5" customHeight="1" x14ac:dyDescent="0.5">
      <c r="F48" s="281" t="s">
        <v>11</v>
      </c>
      <c r="G48" s="281"/>
      <c r="H48" s="281"/>
      <c r="I48" s="281"/>
      <c r="J48" s="72"/>
      <c r="K48" s="72"/>
      <c r="L48" s="290" t="s">
        <v>207</v>
      </c>
      <c r="M48" s="290"/>
      <c r="N48" s="290"/>
      <c r="O48" s="290"/>
      <c r="P48" s="290"/>
      <c r="Q48" s="290"/>
      <c r="R48" s="73"/>
    </row>
    <row r="49" spans="1:28" ht="14.15" customHeight="1" thickBot="1" x14ac:dyDescent="0.55000000000000004">
      <c r="I49" s="62"/>
      <c r="J49" s="72"/>
      <c r="K49" s="72"/>
      <c r="L49" s="290"/>
      <c r="M49" s="290"/>
      <c r="N49" s="290"/>
      <c r="O49" s="290"/>
      <c r="P49" s="290"/>
      <c r="Q49" s="290"/>
      <c r="R49" s="73"/>
    </row>
    <row r="50" spans="1:28" ht="24" customHeight="1" thickTop="1" x14ac:dyDescent="0.3">
      <c r="F50" s="299" t="s">
        <v>86</v>
      </c>
      <c r="G50" s="300"/>
      <c r="H50" s="283">
        <f>K35+SUMPRODUCT($I$40:$I$44,$J$40:$J$44)</f>
        <v>0</v>
      </c>
      <c r="I50" s="284"/>
      <c r="J50" s="75"/>
      <c r="K50" s="75"/>
      <c r="L50" s="290"/>
      <c r="M50" s="290"/>
      <c r="N50" s="290"/>
      <c r="O50" s="290"/>
      <c r="P50" s="290"/>
      <c r="Q50" s="290"/>
      <c r="R50" s="73"/>
    </row>
    <row r="51" spans="1:28" ht="24" customHeight="1" x14ac:dyDescent="0.3">
      <c r="F51" s="297" t="s">
        <v>191</v>
      </c>
      <c r="G51" s="298"/>
      <c r="H51" s="295">
        <f>M35+SUMPRODUCT($J$40:$J$44,$I$40:$I$44)</f>
        <v>0</v>
      </c>
      <c r="I51" s="296"/>
      <c r="J51" s="75"/>
      <c r="K51" s="75"/>
      <c r="L51" s="290"/>
      <c r="M51" s="290"/>
      <c r="N51" s="290"/>
      <c r="O51" s="290"/>
      <c r="P51" s="290"/>
      <c r="Q51" s="290"/>
      <c r="R51" s="73"/>
    </row>
    <row r="52" spans="1:28" ht="21.75" customHeight="1" x14ac:dyDescent="0.3">
      <c r="F52" s="253" t="s">
        <v>89</v>
      </c>
      <c r="G52" s="254"/>
      <c r="H52" s="85" t="str">
        <f>IFERROR(I52/H50,"n/a")</f>
        <v>n/a</v>
      </c>
      <c r="I52" s="109">
        <f>H50-H51</f>
        <v>0</v>
      </c>
      <c r="J52" s="76"/>
      <c r="K52" s="77"/>
      <c r="L52" s="290"/>
      <c r="M52" s="290"/>
      <c r="N52" s="290"/>
      <c r="O52" s="290"/>
      <c r="P52" s="290"/>
      <c r="Q52" s="290"/>
      <c r="R52" s="73"/>
    </row>
    <row r="53" spans="1:28" ht="18.649999999999999" customHeight="1" x14ac:dyDescent="0.3">
      <c r="F53" s="259" t="s">
        <v>192</v>
      </c>
      <c r="G53" s="260"/>
      <c r="H53" s="108"/>
      <c r="I53" s="110"/>
      <c r="J53" s="76"/>
      <c r="K53" s="75"/>
      <c r="L53" s="290"/>
      <c r="M53" s="290"/>
      <c r="N53" s="290"/>
      <c r="O53" s="290"/>
      <c r="P53" s="290"/>
      <c r="Q53" s="290"/>
      <c r="R53" s="73"/>
    </row>
    <row r="54" spans="1:28" ht="18" customHeight="1" x14ac:dyDescent="0.3">
      <c r="F54" s="255" t="s">
        <v>161</v>
      </c>
      <c r="G54" s="256"/>
      <c r="H54" s="84" t="str">
        <f>$N$16</f>
        <v>n/a</v>
      </c>
      <c r="I54" s="95">
        <f>$N$35</f>
        <v>0</v>
      </c>
      <c r="J54" s="94"/>
      <c r="K54" s="79"/>
      <c r="L54" s="290"/>
      <c r="M54" s="290"/>
      <c r="N54" s="290"/>
      <c r="O54" s="290"/>
      <c r="P54" s="290"/>
      <c r="Q54" s="290"/>
      <c r="R54" s="73"/>
    </row>
    <row r="55" spans="1:28" ht="18" customHeight="1" x14ac:dyDescent="0.3">
      <c r="F55" s="257" t="s">
        <v>206</v>
      </c>
      <c r="G55" s="258"/>
      <c r="H55" s="84" t="str">
        <f>IFERROR(I55/H51,"n/a")</f>
        <v>n/a</v>
      </c>
      <c r="I55" s="95">
        <f>SUM(K40:K44)-SUM($V$40:$V$44)</f>
        <v>0</v>
      </c>
      <c r="J55" s="78"/>
      <c r="K55" s="212"/>
      <c r="L55" s="290"/>
      <c r="M55" s="290"/>
      <c r="N55" s="290"/>
      <c r="O55" s="290"/>
      <c r="P55" s="290"/>
      <c r="Q55" s="290"/>
      <c r="R55" s="73"/>
    </row>
    <row r="56" spans="1:28" s="66" customFormat="1" ht="18" customHeight="1" x14ac:dyDescent="0.3">
      <c r="A56" s="62"/>
      <c r="B56" s="62"/>
      <c r="C56" s="62"/>
      <c r="D56" s="62"/>
      <c r="E56" s="62"/>
      <c r="F56" s="255" t="s">
        <v>193</v>
      </c>
      <c r="G56" s="256"/>
      <c r="H56" s="84" t="str">
        <f>$O$16</f>
        <v>n/a</v>
      </c>
      <c r="I56" s="95">
        <f>$O$35</f>
        <v>0</v>
      </c>
      <c r="J56" s="78"/>
      <c r="K56" s="79"/>
      <c r="L56" s="290"/>
      <c r="M56" s="290"/>
      <c r="N56" s="290"/>
      <c r="O56" s="290"/>
      <c r="P56" s="290"/>
      <c r="Q56" s="290"/>
      <c r="R56" s="73"/>
      <c r="S56" s="62"/>
      <c r="T56" s="62"/>
      <c r="U56" s="62"/>
      <c r="V56" s="62"/>
      <c r="W56" s="62"/>
      <c r="X56" s="62"/>
      <c r="Y56" s="62"/>
      <c r="Z56" s="62"/>
      <c r="AA56" s="62"/>
      <c r="AB56" s="62"/>
    </row>
    <row r="57" spans="1:28" s="66" customFormat="1" ht="21.75" customHeight="1" x14ac:dyDescent="0.3">
      <c r="A57" s="62"/>
      <c r="B57" s="62"/>
      <c r="C57" s="62"/>
      <c r="D57" s="62"/>
      <c r="E57" s="62"/>
      <c r="F57" s="253" t="s">
        <v>90</v>
      </c>
      <c r="G57" s="254"/>
      <c r="H57" s="85">
        <f>SUM(H54:H56)</f>
        <v>0</v>
      </c>
      <c r="I57" s="109">
        <f>SUM(I54:I56)</f>
        <v>0</v>
      </c>
      <c r="J57" s="67"/>
      <c r="K57" s="79"/>
      <c r="L57" s="290"/>
      <c r="M57" s="290"/>
      <c r="N57" s="290"/>
      <c r="O57" s="290"/>
      <c r="P57" s="290"/>
      <c r="Q57" s="290"/>
      <c r="R57" s="73"/>
      <c r="S57" s="62"/>
      <c r="T57" s="62"/>
      <c r="U57" s="62"/>
      <c r="V57" s="62"/>
      <c r="W57" s="62"/>
      <c r="X57" s="62"/>
      <c r="Y57" s="62"/>
      <c r="Z57" s="62"/>
      <c r="AA57" s="62"/>
      <c r="AB57" s="62"/>
    </row>
    <row r="58" spans="1:28" s="66" customFormat="1" ht="24" customHeight="1" thickBot="1" x14ac:dyDescent="0.35">
      <c r="A58" s="62"/>
      <c r="B58" s="62"/>
      <c r="C58" s="62"/>
      <c r="D58" s="62"/>
      <c r="E58" s="62"/>
      <c r="F58" s="251" t="s">
        <v>87</v>
      </c>
      <c r="G58" s="252"/>
      <c r="H58" s="249">
        <f>H51-I57</f>
        <v>0</v>
      </c>
      <c r="I58" s="250"/>
      <c r="J58" s="67"/>
      <c r="K58" s="67"/>
      <c r="L58" s="290"/>
      <c r="M58" s="290"/>
      <c r="N58" s="290"/>
      <c r="O58" s="290"/>
      <c r="P58" s="290"/>
      <c r="Q58" s="290"/>
      <c r="R58" s="73"/>
      <c r="S58" s="62"/>
      <c r="T58" s="62"/>
      <c r="U58" s="62"/>
      <c r="V58" s="62"/>
      <c r="W58" s="62"/>
      <c r="X58" s="62"/>
      <c r="Y58" s="62"/>
      <c r="Z58" s="62"/>
      <c r="AA58" s="62"/>
      <c r="AB58" s="62"/>
    </row>
    <row r="59" spans="1:28" s="66" customFormat="1" ht="13" customHeight="1" thickTop="1" thickBot="1" x14ac:dyDescent="0.35">
      <c r="A59" s="67"/>
      <c r="B59" s="67"/>
      <c r="C59" s="67"/>
      <c r="D59" s="67"/>
      <c r="E59" s="62"/>
      <c r="F59" s="67"/>
      <c r="G59" s="67"/>
      <c r="H59" s="67"/>
      <c r="I59" s="67"/>
      <c r="J59" s="67"/>
      <c r="K59" s="67"/>
      <c r="L59" s="290"/>
      <c r="M59" s="290"/>
      <c r="N59" s="290"/>
      <c r="O59" s="290"/>
      <c r="P59" s="290"/>
      <c r="Q59" s="290"/>
      <c r="R59" s="73"/>
      <c r="S59" s="62"/>
      <c r="T59" s="62"/>
      <c r="U59" s="62"/>
      <c r="V59" s="62"/>
      <c r="W59" s="62"/>
      <c r="X59" s="62"/>
      <c r="Y59" s="62"/>
      <c r="Z59" s="62"/>
      <c r="AA59" s="62"/>
      <c r="AB59" s="62"/>
    </row>
    <row r="60" spans="1:28" s="66" customFormat="1" ht="23.15" customHeight="1" thickTop="1" thickBot="1" x14ac:dyDescent="0.35">
      <c r="A60" s="62"/>
      <c r="B60" s="62"/>
      <c r="C60" s="62"/>
      <c r="D60" s="62"/>
      <c r="E60" s="62"/>
      <c r="F60" s="278" t="str">
        <f>CONCATENATE("Estimated MER points to be earned: ",TEXT(IF(AND(I57 &lt;&gt;"", I57 &gt; 0),I57*100, 0),"#,##0"))</f>
        <v>Estimated MER points to be earned: 0</v>
      </c>
      <c r="G60" s="279"/>
      <c r="H60" s="279"/>
      <c r="I60" s="280"/>
      <c r="J60" s="67"/>
      <c r="K60" s="67"/>
      <c r="L60" s="290"/>
      <c r="M60" s="290"/>
      <c r="N60" s="290"/>
      <c r="O60" s="290"/>
      <c r="P60" s="290"/>
      <c r="Q60" s="290"/>
      <c r="R60" s="73"/>
      <c r="S60" s="62"/>
      <c r="T60" s="62"/>
      <c r="U60" s="62"/>
      <c r="V60" s="62"/>
      <c r="W60" s="62"/>
      <c r="X60" s="62"/>
      <c r="Y60" s="62"/>
      <c r="Z60" s="62"/>
      <c r="AA60" s="62"/>
      <c r="AB60" s="62"/>
    </row>
    <row r="61" spans="1:28" s="66" customFormat="1" ht="14.5" customHeight="1" thickTop="1" x14ac:dyDescent="0.3">
      <c r="A61" s="62"/>
      <c r="B61" s="62"/>
      <c r="C61" s="62"/>
      <c r="D61" s="62"/>
      <c r="E61" s="62"/>
      <c r="F61" s="62"/>
      <c r="G61" s="62"/>
      <c r="H61" s="62"/>
      <c r="I61" s="80"/>
      <c r="J61" s="67"/>
      <c r="K61" s="67"/>
      <c r="L61" s="73"/>
      <c r="M61" s="73"/>
      <c r="N61" s="73"/>
      <c r="O61" s="73"/>
      <c r="P61" s="73"/>
      <c r="Q61" s="73"/>
      <c r="R61" s="73"/>
      <c r="S61" s="62"/>
      <c r="T61" s="62"/>
      <c r="U61" s="62"/>
      <c r="V61" s="62"/>
      <c r="W61" s="62"/>
      <c r="X61" s="62"/>
      <c r="Y61" s="62"/>
      <c r="Z61" s="62"/>
      <c r="AA61" s="62"/>
      <c r="AB61" s="62"/>
    </row>
    <row r="62" spans="1:28" s="66" customFormat="1" ht="14.5" customHeight="1" x14ac:dyDescent="0.3">
      <c r="A62" s="62"/>
      <c r="B62" s="62"/>
      <c r="C62" s="62"/>
      <c r="D62" s="62"/>
      <c r="E62" s="62"/>
      <c r="F62" s="62"/>
      <c r="G62" s="62"/>
      <c r="H62" s="62"/>
      <c r="I62" s="80"/>
      <c r="J62" s="67"/>
      <c r="K62" s="67"/>
      <c r="L62" s="73"/>
      <c r="M62" s="73"/>
      <c r="N62" s="73"/>
      <c r="O62" s="73"/>
      <c r="P62" s="73"/>
      <c r="Q62" s="73"/>
      <c r="R62" s="62"/>
      <c r="S62" s="62"/>
      <c r="T62" s="62"/>
      <c r="U62" s="62"/>
      <c r="V62" s="62"/>
      <c r="W62" s="62"/>
      <c r="X62" s="62"/>
      <c r="Y62" s="62"/>
      <c r="Z62" s="62"/>
      <c r="AA62" s="62"/>
      <c r="AB62" s="62"/>
    </row>
    <row r="63" spans="1:28" s="66" customFormat="1" ht="13" customHeight="1" x14ac:dyDescent="0.3">
      <c r="A63" s="62"/>
      <c r="B63" s="62"/>
      <c r="C63" s="62"/>
      <c r="D63" s="62"/>
      <c r="E63" s="62"/>
      <c r="F63" s="62"/>
      <c r="G63" s="62"/>
      <c r="H63" s="62"/>
      <c r="I63" s="80"/>
      <c r="J63" s="67"/>
      <c r="K63" s="67"/>
      <c r="L63" s="67"/>
      <c r="M63" s="67"/>
      <c r="N63" s="67"/>
      <c r="O63" s="67"/>
      <c r="P63" s="67"/>
      <c r="Q63" s="67"/>
      <c r="R63" s="62"/>
      <c r="S63" s="62"/>
      <c r="T63" s="62"/>
      <c r="U63" s="62"/>
      <c r="V63" s="62"/>
      <c r="W63" s="62"/>
      <c r="X63" s="62"/>
      <c r="Y63" s="62"/>
      <c r="Z63" s="62"/>
      <c r="AA63" s="62"/>
      <c r="AB63" s="62"/>
    </row>
    <row r="64" spans="1:28" s="66" customFormat="1" ht="13" customHeight="1" x14ac:dyDescent="0.3">
      <c r="A64" s="62"/>
      <c r="B64" s="62"/>
      <c r="C64" s="62"/>
      <c r="D64" s="62"/>
      <c r="E64" s="62"/>
      <c r="F64" s="62"/>
      <c r="G64" s="62"/>
      <c r="H64" s="62"/>
      <c r="I64" s="80"/>
      <c r="J64" s="67"/>
      <c r="K64" s="67"/>
      <c r="L64" s="67"/>
      <c r="M64" s="67"/>
      <c r="N64" s="67"/>
      <c r="O64" s="67"/>
      <c r="P64" s="67"/>
      <c r="Q64" s="67"/>
      <c r="R64" s="62"/>
      <c r="S64" s="62"/>
      <c r="T64" s="62"/>
      <c r="U64" s="62"/>
      <c r="V64" s="62"/>
      <c r="W64" s="62"/>
      <c r="X64" s="62"/>
      <c r="Y64" s="62"/>
      <c r="Z64" s="62"/>
      <c r="AA64" s="62"/>
      <c r="AB64" s="62"/>
    </row>
  </sheetData>
  <sheetProtection algorithmName="SHA-512" hashValue="erYoKFwBxxYSSxzmEm0XVzgpG5al+4Pa699vbZBTLaVxeqM0PbyhWLmybj9Tl/pRKs9jaqNmNvvfuYONPGqW2w==" saltValue="JrGs3Comxf4aTpxBDX50CQ==" spinCount="100000" sheet="1" selectLockedCells="1"/>
  <mergeCells count="52">
    <mergeCell ref="N12:O13"/>
    <mergeCell ref="G32:G34"/>
    <mergeCell ref="G29:G31"/>
    <mergeCell ref="H51:I51"/>
    <mergeCell ref="F51:G51"/>
    <mergeCell ref="F50:G50"/>
    <mergeCell ref="Q14:Q16"/>
    <mergeCell ref="O14:O15"/>
    <mergeCell ref="P14:P16"/>
    <mergeCell ref="N14:N15"/>
    <mergeCell ref="L48:Q60"/>
    <mergeCell ref="A14:A16"/>
    <mergeCell ref="C14:C16"/>
    <mergeCell ref="L14:L16"/>
    <mergeCell ref="M14:M16"/>
    <mergeCell ref="F60:I60"/>
    <mergeCell ref="F48:I48"/>
    <mergeCell ref="C32:C34"/>
    <mergeCell ref="C29:C31"/>
    <mergeCell ref="C26:C28"/>
    <mergeCell ref="C23:C25"/>
    <mergeCell ref="C20:C22"/>
    <mergeCell ref="C17:C19"/>
    <mergeCell ref="H50:I50"/>
    <mergeCell ref="D29:D31"/>
    <mergeCell ref="D26:D28"/>
    <mergeCell ref="D23:D25"/>
    <mergeCell ref="G1:M1"/>
    <mergeCell ref="F14:F16"/>
    <mergeCell ref="I14:I16"/>
    <mergeCell ref="J14:J16"/>
    <mergeCell ref="K14:K16"/>
    <mergeCell ref="F4:G4"/>
    <mergeCell ref="F54:G54"/>
    <mergeCell ref="F53:G53"/>
    <mergeCell ref="F52:G52"/>
    <mergeCell ref="G26:G28"/>
    <mergeCell ref="G23:G25"/>
    <mergeCell ref="H58:I58"/>
    <mergeCell ref="F58:G58"/>
    <mergeCell ref="F57:G57"/>
    <mergeCell ref="F56:G56"/>
    <mergeCell ref="F55:G55"/>
    <mergeCell ref="B14:B16"/>
    <mergeCell ref="D14:D16"/>
    <mergeCell ref="H14:H16"/>
    <mergeCell ref="D32:D34"/>
    <mergeCell ref="D17:D19"/>
    <mergeCell ref="G14:G16"/>
    <mergeCell ref="D20:D22"/>
    <mergeCell ref="G20:G22"/>
    <mergeCell ref="G17:G19"/>
  </mergeCells>
  <conditionalFormatting sqref="N17:O34">
    <cfRule type="cellIs" dxfId="64" priority="30" operator="equal">
      <formula>0</formula>
    </cfRule>
  </conditionalFormatting>
  <conditionalFormatting sqref="P17:P34">
    <cfRule type="expression" dxfId="63" priority="25">
      <formula>ISBLANK($I17)</formula>
    </cfRule>
  </conditionalFormatting>
  <conditionalFormatting sqref="H52:H57">
    <cfRule type="cellIs" dxfId="62" priority="22" operator="equal">
      <formula>"n/a"</formula>
    </cfRule>
  </conditionalFormatting>
  <conditionalFormatting sqref="I54:I56">
    <cfRule type="cellIs" dxfId="61" priority="21" operator="equal">
      <formula>"n/a"</formula>
    </cfRule>
  </conditionalFormatting>
  <conditionalFormatting sqref="L5:L7">
    <cfRule type="expression" dxfId="60" priority="126">
      <formula>$M5=TRUE</formula>
    </cfRule>
  </conditionalFormatting>
  <conditionalFormatting sqref="P5:P8">
    <cfRule type="expression" dxfId="59" priority="6">
      <formula>$S5=TRUE</formula>
    </cfRule>
  </conditionalFormatting>
  <conditionalFormatting sqref="Q5:R8">
    <cfRule type="expression" dxfId="58" priority="5">
      <formula>AND($S5=TRUE,$O$10="Yes")</formula>
    </cfRule>
  </conditionalFormatting>
  <conditionalFormatting sqref="N5:O8">
    <cfRule type="expression" dxfId="57" priority="4">
      <formula>$S5=TRUE</formula>
    </cfRule>
  </conditionalFormatting>
  <conditionalFormatting sqref="K5:K7">
    <cfRule type="expression" dxfId="56" priority="3">
      <formula>$M5=TRUE</formula>
    </cfRule>
  </conditionalFormatting>
  <conditionalFormatting sqref="N16:O16">
    <cfRule type="cellIs" dxfId="55" priority="2" operator="equal">
      <formula>"n/a"</formula>
    </cfRule>
  </conditionalFormatting>
  <conditionalFormatting sqref="L40:M44">
    <cfRule type="cellIs" dxfId="54" priority="1" operator="equal">
      <formula>"n/a"</formula>
    </cfRule>
  </conditionalFormatting>
  <dataValidations count="16">
    <dataValidation type="whole" operator="greaterThanOrEqual" allowBlank="1" showInputMessage="1" showErrorMessage="1" errorTitle="# Units Error" error="Must be 30+ units." sqref="I34" xr:uid="{7154FAA0-935A-459F-9BDC-C5D990DB58D6}">
      <formula1>30</formula1>
    </dataValidation>
    <dataValidation type="whole" allowBlank="1" showInputMessage="1" showErrorMessage="1" errorTitle="# Units Error" error="Must be between 4 and 15 units." sqref="I24 I27" xr:uid="{C32D9F01-1D95-4331-83A0-2C7B7BD4F871}">
      <formula1>4</formula1>
      <formula2>15</formula2>
    </dataValidation>
    <dataValidation type="whole" allowBlank="1" showInputMessage="1" showErrorMessage="1" errorTitle="# Units Error" error="Must be between 1 and 3 units." sqref="I23 I26" xr:uid="{76C7B26C-7595-4A78-A767-7E655B5358C0}">
      <formula1>1</formula1>
      <formula2>3</formula2>
    </dataValidation>
    <dataValidation type="whole" allowBlank="1" showInputMessage="1" showErrorMessage="1" errorTitle="# Units Error" error="Must be between 1 and 15 units." sqref="I17 I20" xr:uid="{4F5A9293-6E10-452D-BAA5-ADD304E90131}">
      <formula1>1</formula1>
      <formula2>15</formula2>
    </dataValidation>
    <dataValidation type="whole" allowBlank="1" showInputMessage="1" showErrorMessage="1" errorTitle="# Units Error" error="Must be between 16 and 31 units." sqref="I18 I21" xr:uid="{B9803916-0346-4834-93B3-C2FDB712B8E9}">
      <formula1>16</formula1>
      <formula2>31</formula2>
    </dataValidation>
    <dataValidation type="whole" operator="greaterThanOrEqual" allowBlank="1" showInputMessage="1" showErrorMessage="1" errorTitle="# Units Error" error="Must be 32+ units." sqref="I19 I22" xr:uid="{7516EC2C-9A9E-4900-B704-2181C724D403}">
      <formula1>32</formula1>
    </dataValidation>
    <dataValidation type="whole" operator="greaterThanOrEqual" allowBlank="1" showInputMessage="1" showErrorMessage="1" errorTitle="# Units Error" error="Must be 16+ units." sqref="I25 I28" xr:uid="{0384E023-D93D-4F7A-A774-F26F6DB9CA93}">
      <formula1>16</formula1>
    </dataValidation>
    <dataValidation type="whole" allowBlank="1" showInputMessage="1" showErrorMessage="1" errorTitle="# Units Error" error="Must be between 1 and 39 units." sqref="I29" xr:uid="{B3809895-4EBE-4D82-AFF3-660BBBCEAFA4}">
      <formula1>1</formula1>
      <formula2>39</formula2>
    </dataValidation>
    <dataValidation type="whole" allowBlank="1" showInputMessage="1" showErrorMessage="1" errorTitle="# Units Error" error="Must be between 40 and 119 units." sqref="I30" xr:uid="{B1D3C9E7-EB05-4F4C-836E-D4EC05DDC4C8}">
      <formula1>40</formula1>
      <formula2>119</formula2>
    </dataValidation>
    <dataValidation type="whole" operator="greaterThanOrEqual" allowBlank="1" showInputMessage="1" showErrorMessage="1" errorTitle="# Units Error" error="Must be 120+ units." sqref="I31" xr:uid="{04A1411A-EC6A-424C-8F12-CF76FCE00008}">
      <formula1>120</formula1>
    </dataValidation>
    <dataValidation type="whole" allowBlank="1" showInputMessage="1" showErrorMessage="1" errorTitle="# Units Error" error="Must be between 1 and 11 units." sqref="I32" xr:uid="{8193F86D-DF92-4583-B78B-C46205F0D5B4}">
      <formula1>1</formula1>
      <formula2>11</formula2>
    </dataValidation>
    <dataValidation type="whole" allowBlank="1" showInputMessage="1" showErrorMessage="1" errorTitle="# Units Error" error="Must be between 12 and 29 units." sqref="I33" xr:uid="{DE33C253-81D6-4FED-917E-704B7CD65095}">
      <formula1>12</formula1>
      <formula2>29</formula2>
    </dataValidation>
    <dataValidation type="list" allowBlank="1" showInputMessage="1" showErrorMessage="1" sqref="O10" xr:uid="{81746916-CD48-45E0-9E0A-A582B31A5532}">
      <formula1>$AG$4:$AG$5</formula1>
    </dataValidation>
    <dataValidation type="list" allowBlank="1" showInputMessage="1" showErrorMessage="1" sqref="G10" xr:uid="{B5708AC6-52C6-42C6-A908-20E5E1113C24}">
      <formula1>$AH$3:$AH$5</formula1>
    </dataValidation>
    <dataValidation type="decimal" allowBlank="1" showInputMessage="1" errorTitle="# Units Error" error="Must be greater than 1." sqref="M40:M44" xr:uid="{527A9A21-0FCD-4EEA-B22A-CA2E62E2D6D7}">
      <formula1>1</formula1>
      <formula2>9999999</formula2>
    </dataValidation>
    <dataValidation type="whole" allowBlank="1" showInputMessage="1" showErrorMessage="1" errorTitle="Quantity Error" error="Must be 1 or greater." sqref="I40:I44" xr:uid="{D27A4447-A58C-4CA4-B0CD-798CFF67796E}">
      <formula1>1</formula1>
      <formula2>9999999</formula2>
    </dataValidation>
  </dataValidations>
  <pageMargins left="0.75" right="0.75" top="0.75" bottom="0.5" header="0.5" footer="0.75"/>
  <pageSetup scale="44"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67ABA-C125-4B9A-BECA-0D0056894326}">
  <sheetPr codeName="Sheet6">
    <pageSetUpPr fitToPage="1"/>
  </sheetPr>
  <dimension ref="A1:O97"/>
  <sheetViews>
    <sheetView showGridLines="0" topLeftCell="B1" zoomScaleNormal="100" workbookViewId="0">
      <selection activeCell="I33" sqref="I33"/>
    </sheetView>
  </sheetViews>
  <sheetFormatPr defaultColWidth="0" defaultRowHeight="14.5" x14ac:dyDescent="0.35"/>
  <cols>
    <col min="1" max="1" width="8.7265625" style="55" hidden="1" customWidth="1"/>
    <col min="2" max="2" width="3.54296875" style="55" customWidth="1"/>
    <col min="3" max="3" width="31.453125" style="55" customWidth="1"/>
    <col min="4" max="4" width="14" style="55" customWidth="1"/>
    <col min="5" max="5" width="7.1796875" style="165" customWidth="1"/>
    <col min="6" max="6" width="12.1796875" style="165" customWidth="1"/>
    <col min="7" max="7" width="11.7265625" style="55" customWidth="1"/>
    <col min="8" max="8" width="14" style="55" customWidth="1"/>
    <col min="9" max="9" width="13" style="55" customWidth="1"/>
    <col min="10" max="10" width="14" style="55" customWidth="1"/>
    <col min="11" max="13" width="9.1796875" style="55" customWidth="1"/>
    <col min="14" max="14" width="0" style="55" hidden="1" customWidth="1"/>
    <col min="15" max="16384" width="9.1796875" style="55" hidden="1"/>
  </cols>
  <sheetData>
    <row r="1" spans="1:14" ht="15" thickBot="1" x14ac:dyDescent="0.4">
      <c r="C1" s="52"/>
      <c r="D1" s="52"/>
      <c r="E1" s="52"/>
      <c r="F1" s="52"/>
      <c r="G1" s="52"/>
      <c r="H1" s="53"/>
      <c r="I1" s="54"/>
      <c r="J1" s="54"/>
    </row>
    <row r="2" spans="1:14" ht="21.5" thickBot="1" x14ac:dyDescent="0.4">
      <c r="C2" s="311" t="str">
        <f>'2025 ORNAMENTALS - UNITS'!F4</f>
        <v>NAME YOUR DRAFT ORDER HERE:</v>
      </c>
      <c r="D2" s="312"/>
      <c r="E2" s="312"/>
      <c r="F2" s="312"/>
      <c r="G2" s="313"/>
      <c r="H2" s="53"/>
      <c r="I2" s="54"/>
      <c r="J2" s="54"/>
    </row>
    <row r="3" spans="1:14" x14ac:dyDescent="0.35">
      <c r="C3" s="159" t="str">
        <f>'2025 ORNAMENTALS - UNITS'!F5</f>
        <v xml:space="preserve">Description: </v>
      </c>
      <c r="D3" s="314"/>
      <c r="E3" s="314"/>
      <c r="F3" s="314"/>
      <c r="G3" s="315"/>
      <c r="H3" s="53"/>
      <c r="I3" s="54"/>
      <c r="J3" s="54"/>
    </row>
    <row r="4" spans="1:14" x14ac:dyDescent="0.35">
      <c r="C4" s="160" t="str">
        <f>'2025 ORNAMENTALS - UNITS'!F6</f>
        <v xml:space="preserve">Dist/DSR: </v>
      </c>
      <c r="D4" s="316"/>
      <c r="E4" s="316"/>
      <c r="F4" s="316"/>
      <c r="G4" s="317"/>
      <c r="H4" s="53"/>
      <c r="I4" s="54"/>
      <c r="J4" s="54"/>
    </row>
    <row r="5" spans="1:14" x14ac:dyDescent="0.35">
      <c r="C5" s="161" t="str">
        <f>'2025 ORNAMENTALS - UNITS'!F7</f>
        <v xml:space="preserve">MER#: </v>
      </c>
      <c r="D5" s="316"/>
      <c r="E5" s="316"/>
      <c r="F5" s="316"/>
      <c r="G5" s="317"/>
      <c r="H5" s="53"/>
      <c r="I5" s="54"/>
      <c r="J5" s="54"/>
    </row>
    <row r="6" spans="1:14" x14ac:dyDescent="0.35">
      <c r="C6" s="162" t="str">
        <f>'2025 ORNAMENTALS - UNITS'!F8</f>
        <v xml:space="preserve">Last Updated: </v>
      </c>
      <c r="D6" s="316"/>
      <c r="E6" s="316"/>
      <c r="F6" s="316"/>
      <c r="G6" s="317"/>
      <c r="H6" s="53"/>
      <c r="I6" s="54"/>
      <c r="J6" s="54"/>
      <c r="N6" s="164"/>
    </row>
    <row r="7" spans="1:14" x14ac:dyDescent="0.35">
      <c r="C7" s="162" t="str">
        <f>'2025 ORNAMENTALS - UNITS'!F9</f>
        <v xml:space="preserve">Created For: </v>
      </c>
      <c r="D7" s="316"/>
      <c r="E7" s="316"/>
      <c r="F7" s="316"/>
      <c r="G7" s="317"/>
      <c r="H7" s="53"/>
      <c r="I7" s="54"/>
      <c r="J7" s="54"/>
    </row>
    <row r="8" spans="1:14" ht="15" thickBot="1" x14ac:dyDescent="0.4">
      <c r="C8" s="163" t="str">
        <f>'2025 ORNAMENTALS - UNITS'!F10</f>
        <v>Region:</v>
      </c>
      <c r="D8" s="337"/>
      <c r="E8" s="337"/>
      <c r="F8" s="337"/>
      <c r="G8" s="338"/>
      <c r="H8" s="53"/>
      <c r="I8" s="54"/>
      <c r="J8" s="54"/>
    </row>
    <row r="9" spans="1:14" ht="15" customHeight="1" thickBot="1" x14ac:dyDescent="0.4">
      <c r="C9" s="143" t="s">
        <v>12</v>
      </c>
      <c r="D9" s="54"/>
      <c r="E9" s="56"/>
      <c r="F9" s="56"/>
      <c r="G9" s="54"/>
      <c r="H9" s="54"/>
      <c r="I9" s="54"/>
      <c r="J9" s="54"/>
      <c r="N9" s="164"/>
    </row>
    <row r="10" spans="1:14" ht="10" customHeight="1" thickTop="1" x14ac:dyDescent="0.35">
      <c r="C10" s="318" t="s">
        <v>6</v>
      </c>
      <c r="D10" s="327" t="s">
        <v>165</v>
      </c>
      <c r="E10" s="321" t="s">
        <v>7</v>
      </c>
      <c r="F10" s="324" t="s">
        <v>88</v>
      </c>
      <c r="G10" s="324" t="s">
        <v>212</v>
      </c>
      <c r="H10" s="324" t="s">
        <v>167</v>
      </c>
      <c r="I10" s="331" t="s">
        <v>72</v>
      </c>
      <c r="J10" s="334" t="s">
        <v>168</v>
      </c>
    </row>
    <row r="11" spans="1:14" ht="17.25" customHeight="1" x14ac:dyDescent="0.35">
      <c r="C11" s="319"/>
      <c r="D11" s="328"/>
      <c r="E11" s="322"/>
      <c r="F11" s="325"/>
      <c r="G11" s="325"/>
      <c r="H11" s="325"/>
      <c r="I11" s="332"/>
      <c r="J11" s="335"/>
    </row>
    <row r="12" spans="1:14" ht="3" customHeight="1" thickBot="1" x14ac:dyDescent="0.4">
      <c r="C12" s="320"/>
      <c r="D12" s="329"/>
      <c r="E12" s="323"/>
      <c r="F12" s="326"/>
      <c r="G12" s="326"/>
      <c r="H12" s="326"/>
      <c r="I12" s="333"/>
      <c r="J12" s="336"/>
    </row>
    <row r="13" spans="1:14" ht="15" thickTop="1" x14ac:dyDescent="0.35">
      <c r="A13" s="55" t="s">
        <v>38</v>
      </c>
      <c r="C13" s="342" t="s">
        <v>174</v>
      </c>
      <c r="D13" s="112" t="str">
        <f>'2025 ORNAMENTALS - UNITS'!H17</f>
        <v>1-15 units</v>
      </c>
      <c r="E13" s="57">
        <f>'2025 ORNAMENTALS - UNITS'!I17</f>
        <v>0</v>
      </c>
      <c r="F13" s="115">
        <f>'2025 ORNAMENTALS - UNITS'!J17</f>
        <v>437.2</v>
      </c>
      <c r="G13" s="115">
        <f>'2025 ORNAMENTALS - UNITS'!L17</f>
        <v>437.2</v>
      </c>
      <c r="H13" s="116" t="str">
        <f>'2025 ORNAMENTALS - UNITS'!M17</f>
        <v/>
      </c>
      <c r="I13" s="144" t="str">
        <f>'2025 ORNAMENTALS - UNITS'!P17</f>
        <v/>
      </c>
      <c r="J13" s="128" t="str">
        <f>'2025 ORNAMENTALS - UNITS'!Q17</f>
        <v/>
      </c>
    </row>
    <row r="14" spans="1:14" x14ac:dyDescent="0.35">
      <c r="A14" s="55" t="s">
        <v>39</v>
      </c>
      <c r="C14" s="304"/>
      <c r="D14" s="113" t="str">
        <f>'2025 ORNAMENTALS - UNITS'!H18</f>
        <v>16-31 units</v>
      </c>
      <c r="E14" s="58">
        <f>'2025 ORNAMENTALS - UNITS'!I18</f>
        <v>0</v>
      </c>
      <c r="F14" s="117">
        <f>'2025 ORNAMENTALS - UNITS'!J18</f>
        <v>437.2</v>
      </c>
      <c r="G14" s="117">
        <f>'2025 ORNAMENTALS - UNITS'!L18</f>
        <v>415.36</v>
      </c>
      <c r="H14" s="118" t="str">
        <f>'2025 ORNAMENTALS - UNITS'!M18</f>
        <v/>
      </c>
      <c r="I14" s="145" t="str">
        <f>'2025 ORNAMENTALS - UNITS'!P18</f>
        <v/>
      </c>
      <c r="J14" s="129" t="str">
        <f>'2025 ORNAMENTALS - UNITS'!Q18</f>
        <v/>
      </c>
    </row>
    <row r="15" spans="1:14" x14ac:dyDescent="0.35">
      <c r="A15" s="55" t="s">
        <v>44</v>
      </c>
      <c r="C15" s="343"/>
      <c r="D15" s="114" t="str">
        <f>'2025 ORNAMENTALS - UNITS'!H19</f>
        <v>32+ units</v>
      </c>
      <c r="E15" s="82">
        <f>'2025 ORNAMENTALS - UNITS'!I19</f>
        <v>0</v>
      </c>
      <c r="F15" s="119">
        <f>'2025 ORNAMENTALS - UNITS'!J19</f>
        <v>437.2</v>
      </c>
      <c r="G15" s="119">
        <f>'2025 ORNAMENTALS - UNITS'!L19</f>
        <v>393.6</v>
      </c>
      <c r="H15" s="120" t="str">
        <f>'2025 ORNAMENTALS - UNITS'!M19</f>
        <v/>
      </c>
      <c r="I15" s="146" t="str">
        <f>'2025 ORNAMENTALS - UNITS'!P19</f>
        <v/>
      </c>
      <c r="J15" s="130" t="str">
        <f>'2025 ORNAMENTALS - UNITS'!Q19</f>
        <v/>
      </c>
    </row>
    <row r="16" spans="1:14" x14ac:dyDescent="0.35">
      <c r="A16" s="55" t="s">
        <v>45</v>
      </c>
      <c r="C16" s="304" t="s">
        <v>175</v>
      </c>
      <c r="D16" s="112" t="str">
        <f>'2025 ORNAMENTALS - UNITS'!H20</f>
        <v>1-15 units</v>
      </c>
      <c r="E16" s="57">
        <f>'2025 ORNAMENTALS - UNITS'!I20</f>
        <v>0</v>
      </c>
      <c r="F16" s="115">
        <f>'2025 ORNAMENTALS - UNITS'!J20</f>
        <v>250</v>
      </c>
      <c r="G16" s="115">
        <f>'2025 ORNAMENTALS - UNITS'!L20</f>
        <v>250</v>
      </c>
      <c r="H16" s="116" t="str">
        <f>'2025 ORNAMENTALS - UNITS'!M20</f>
        <v/>
      </c>
      <c r="I16" s="144" t="str">
        <f>'2025 ORNAMENTALS - UNITS'!P20</f>
        <v/>
      </c>
      <c r="J16" s="128" t="str">
        <f>'2025 ORNAMENTALS - UNITS'!Q20</f>
        <v/>
      </c>
    </row>
    <row r="17" spans="1:10" x14ac:dyDescent="0.35">
      <c r="A17" s="55">
        <v>11008557</v>
      </c>
      <c r="C17" s="304"/>
      <c r="D17" s="113" t="str">
        <f>'2025 ORNAMENTALS - UNITS'!H21</f>
        <v>16-31 units</v>
      </c>
      <c r="E17" s="58">
        <f>'2025 ORNAMENTALS - UNITS'!I21</f>
        <v>0</v>
      </c>
      <c r="F17" s="117">
        <f>'2025 ORNAMENTALS - UNITS'!J21</f>
        <v>250</v>
      </c>
      <c r="G17" s="117">
        <f>'2025 ORNAMENTALS - UNITS'!L21</f>
        <v>237.48</v>
      </c>
      <c r="H17" s="118" t="str">
        <f>'2025 ORNAMENTALS - UNITS'!M21</f>
        <v/>
      </c>
      <c r="I17" s="145" t="str">
        <f>'2025 ORNAMENTALS - UNITS'!P21</f>
        <v/>
      </c>
      <c r="J17" s="129" t="str">
        <f>'2025 ORNAMENTALS - UNITS'!Q21</f>
        <v/>
      </c>
    </row>
    <row r="18" spans="1:10" x14ac:dyDescent="0.35">
      <c r="A18" s="55">
        <v>11009500</v>
      </c>
      <c r="C18" s="343"/>
      <c r="D18" s="114" t="str">
        <f>'2025 ORNAMENTALS - UNITS'!H22</f>
        <v>32+ units</v>
      </c>
      <c r="E18" s="82">
        <f>'2025 ORNAMENTALS - UNITS'!I22</f>
        <v>0</v>
      </c>
      <c r="F18" s="119">
        <f>'2025 ORNAMENTALS - UNITS'!J22</f>
        <v>250</v>
      </c>
      <c r="G18" s="119">
        <f>'2025 ORNAMENTALS - UNITS'!L22</f>
        <v>225</v>
      </c>
      <c r="H18" s="120" t="str">
        <f>'2025 ORNAMENTALS - UNITS'!M22</f>
        <v/>
      </c>
      <c r="I18" s="146" t="str">
        <f>'2025 ORNAMENTALS - UNITS'!P22</f>
        <v/>
      </c>
      <c r="J18" s="130" t="str">
        <f>'2025 ORNAMENTALS - UNITS'!Q22</f>
        <v/>
      </c>
    </row>
    <row r="19" spans="1:10" x14ac:dyDescent="0.35">
      <c r="A19" s="55" t="s">
        <v>47</v>
      </c>
      <c r="C19" s="304" t="s">
        <v>176</v>
      </c>
      <c r="D19" s="112" t="str">
        <f>'2025 ORNAMENTALS - UNITS'!H23</f>
        <v>1-3 units</v>
      </c>
      <c r="E19" s="57">
        <f>'2025 ORNAMENTALS - UNITS'!I23</f>
        <v>0</v>
      </c>
      <c r="F19" s="115">
        <f>'2025 ORNAMENTALS - UNITS'!J23</f>
        <v>744</v>
      </c>
      <c r="G19" s="115">
        <f>'2025 ORNAMENTALS - UNITS'!L23</f>
        <v>744</v>
      </c>
      <c r="H19" s="116" t="str">
        <f>'2025 ORNAMENTALS - UNITS'!M23</f>
        <v/>
      </c>
      <c r="I19" s="144" t="str">
        <f>'2025 ORNAMENTALS - UNITS'!P23</f>
        <v/>
      </c>
      <c r="J19" s="128" t="str">
        <f>'2025 ORNAMENTALS - UNITS'!Q23</f>
        <v/>
      </c>
    </row>
    <row r="20" spans="1:10" x14ac:dyDescent="0.35">
      <c r="A20" s="55">
        <v>81701245</v>
      </c>
      <c r="C20" s="304"/>
      <c r="D20" s="113" t="str">
        <f>'2025 ORNAMENTALS - UNITS'!H24</f>
        <v>4-15 units</v>
      </c>
      <c r="E20" s="58">
        <f>'2025 ORNAMENTALS - UNITS'!I24</f>
        <v>0</v>
      </c>
      <c r="F20" s="117">
        <f>'2025 ORNAMENTALS - UNITS'!J24</f>
        <v>744</v>
      </c>
      <c r="G20" s="117">
        <f>'2025 ORNAMENTALS - UNITS'!L24</f>
        <v>706.88</v>
      </c>
      <c r="H20" s="118" t="str">
        <f>'2025 ORNAMENTALS - UNITS'!M24</f>
        <v/>
      </c>
      <c r="I20" s="145" t="str">
        <f>'2025 ORNAMENTALS - UNITS'!P24</f>
        <v/>
      </c>
      <c r="J20" s="129" t="str">
        <f>'2025 ORNAMENTALS - UNITS'!Q24</f>
        <v/>
      </c>
    </row>
    <row r="21" spans="1:10" x14ac:dyDescent="0.35">
      <c r="A21" s="55" t="s">
        <v>48</v>
      </c>
      <c r="C21" s="343"/>
      <c r="D21" s="114" t="str">
        <f>'2025 ORNAMENTALS - UNITS'!H25</f>
        <v>16+ units</v>
      </c>
      <c r="E21" s="82">
        <f>'2025 ORNAMENTALS - UNITS'!I25</f>
        <v>0</v>
      </c>
      <c r="F21" s="119">
        <f>'2025 ORNAMENTALS - UNITS'!J25</f>
        <v>744</v>
      </c>
      <c r="G21" s="119">
        <f>'2025 ORNAMENTALS - UNITS'!L25</f>
        <v>669.6</v>
      </c>
      <c r="H21" s="120" t="str">
        <f>'2025 ORNAMENTALS - UNITS'!M25</f>
        <v/>
      </c>
      <c r="I21" s="146" t="str">
        <f>'2025 ORNAMENTALS - UNITS'!P25</f>
        <v/>
      </c>
      <c r="J21" s="130" t="str">
        <f>'2025 ORNAMENTALS - UNITS'!Q25</f>
        <v/>
      </c>
    </row>
    <row r="22" spans="1:10" x14ac:dyDescent="0.35">
      <c r="A22" s="55">
        <v>11003880</v>
      </c>
      <c r="C22" s="304" t="s">
        <v>177</v>
      </c>
      <c r="D22" s="112" t="str">
        <f>'2025 ORNAMENTALS - UNITS'!H26</f>
        <v>1-3 units</v>
      </c>
      <c r="E22" s="57">
        <f>'2025 ORNAMENTALS - UNITS'!I26</f>
        <v>0</v>
      </c>
      <c r="F22" s="115">
        <f>'2025 ORNAMENTALS - UNITS'!J26</f>
        <v>1156.8</v>
      </c>
      <c r="G22" s="115">
        <f>'2025 ORNAMENTALS - UNITS'!L26</f>
        <v>1156.8</v>
      </c>
      <c r="H22" s="116" t="str">
        <f>'2025 ORNAMENTALS - UNITS'!M26</f>
        <v/>
      </c>
      <c r="I22" s="144" t="str">
        <f>'2025 ORNAMENTALS - UNITS'!P26</f>
        <v/>
      </c>
      <c r="J22" s="128" t="str">
        <f>'2025 ORNAMENTALS - UNITS'!Q26</f>
        <v/>
      </c>
    </row>
    <row r="23" spans="1:10" x14ac:dyDescent="0.35">
      <c r="A23" s="55" t="s">
        <v>50</v>
      </c>
      <c r="C23" s="304"/>
      <c r="D23" s="113" t="str">
        <f>'2025 ORNAMENTALS - UNITS'!H27</f>
        <v>4-15 units</v>
      </c>
      <c r="E23" s="58">
        <f>'2025 ORNAMENTALS - UNITS'!I27</f>
        <v>0</v>
      </c>
      <c r="F23" s="117">
        <f>'2025 ORNAMENTALS - UNITS'!J27</f>
        <v>1156.8</v>
      </c>
      <c r="G23" s="117">
        <f>'2025 ORNAMENTALS - UNITS'!L27</f>
        <v>1098.8800000000001</v>
      </c>
      <c r="H23" s="118" t="str">
        <f>'2025 ORNAMENTALS - UNITS'!M27</f>
        <v/>
      </c>
      <c r="I23" s="145" t="str">
        <f>'2025 ORNAMENTALS - UNITS'!P27</f>
        <v/>
      </c>
      <c r="J23" s="129" t="str">
        <f>'2025 ORNAMENTALS - UNITS'!Q27</f>
        <v/>
      </c>
    </row>
    <row r="24" spans="1:10" x14ac:dyDescent="0.35">
      <c r="A24" s="55">
        <v>11014245</v>
      </c>
      <c r="C24" s="343"/>
      <c r="D24" s="114" t="str">
        <f>'2025 ORNAMENTALS - UNITS'!H28</f>
        <v>16+ units</v>
      </c>
      <c r="E24" s="82">
        <f>'2025 ORNAMENTALS - UNITS'!I28</f>
        <v>0</v>
      </c>
      <c r="F24" s="119">
        <f>'2025 ORNAMENTALS - UNITS'!J28</f>
        <v>1156.8</v>
      </c>
      <c r="G24" s="119">
        <f>'2025 ORNAMENTALS - UNITS'!L28</f>
        <v>1041.28</v>
      </c>
      <c r="H24" s="120" t="str">
        <f>'2025 ORNAMENTALS - UNITS'!M28</f>
        <v/>
      </c>
      <c r="I24" s="146" t="str">
        <f>'2025 ORNAMENTALS - UNITS'!P28</f>
        <v/>
      </c>
      <c r="J24" s="130" t="str">
        <f>'2025 ORNAMENTALS - UNITS'!Q28</f>
        <v/>
      </c>
    </row>
    <row r="25" spans="1:10" x14ac:dyDescent="0.35">
      <c r="A25" s="55" t="s">
        <v>53</v>
      </c>
      <c r="C25" s="304" t="s">
        <v>178</v>
      </c>
      <c r="D25" s="112" t="str">
        <f>'2025 ORNAMENTALS - UNITS'!H29</f>
        <v>1-39 units</v>
      </c>
      <c r="E25" s="57">
        <f>'2025 ORNAMENTALS - UNITS'!I29</f>
        <v>0</v>
      </c>
      <c r="F25" s="115">
        <f>'2025 ORNAMENTALS - UNITS'!J29</f>
        <v>126.5</v>
      </c>
      <c r="G25" s="115">
        <f>'2025 ORNAMENTALS - UNITS'!L29</f>
        <v>126.5</v>
      </c>
      <c r="H25" s="116" t="str">
        <f>'2025 ORNAMENTALS - UNITS'!M29</f>
        <v/>
      </c>
      <c r="I25" s="144" t="str">
        <f>'2025 ORNAMENTALS - UNITS'!P29</f>
        <v/>
      </c>
      <c r="J25" s="128" t="str">
        <f>'2025 ORNAMENTALS - UNITS'!Q29</f>
        <v/>
      </c>
    </row>
    <row r="26" spans="1:10" x14ac:dyDescent="0.35">
      <c r="A26" s="55">
        <v>79714858</v>
      </c>
      <c r="C26" s="304"/>
      <c r="D26" s="113" t="str">
        <f>'2025 ORNAMENTALS - UNITS'!H30</f>
        <v>40-119 units</v>
      </c>
      <c r="E26" s="58">
        <f>'2025 ORNAMENTALS - UNITS'!I30</f>
        <v>0</v>
      </c>
      <c r="F26" s="117">
        <f>'2025 ORNAMENTALS - UNITS'!J30</f>
        <v>126.5</v>
      </c>
      <c r="G26" s="117">
        <f>'2025 ORNAMENTALS - UNITS'!L30</f>
        <v>120</v>
      </c>
      <c r="H26" s="118" t="str">
        <f>'2025 ORNAMENTALS - UNITS'!M30</f>
        <v/>
      </c>
      <c r="I26" s="145" t="str">
        <f>'2025 ORNAMENTALS - UNITS'!P30</f>
        <v/>
      </c>
      <c r="J26" s="129" t="str">
        <f>'2025 ORNAMENTALS - UNITS'!Q30</f>
        <v/>
      </c>
    </row>
    <row r="27" spans="1:10" x14ac:dyDescent="0.35">
      <c r="A27" s="55" t="s">
        <v>42</v>
      </c>
      <c r="C27" s="343"/>
      <c r="D27" s="114" t="str">
        <f>'2025 ORNAMENTALS - UNITS'!H31</f>
        <v>120+ units</v>
      </c>
      <c r="E27" s="82">
        <f>'2025 ORNAMENTALS - UNITS'!I31</f>
        <v>0</v>
      </c>
      <c r="F27" s="119">
        <f>'2025 ORNAMENTALS - UNITS'!J31</f>
        <v>126.5</v>
      </c>
      <c r="G27" s="119">
        <f>'2025 ORNAMENTALS - UNITS'!L31</f>
        <v>114</v>
      </c>
      <c r="H27" s="120" t="str">
        <f>'2025 ORNAMENTALS - UNITS'!M31</f>
        <v/>
      </c>
      <c r="I27" s="146" t="str">
        <f>'2025 ORNAMENTALS - UNITS'!P31</f>
        <v/>
      </c>
      <c r="J27" s="130" t="str">
        <f>'2025 ORNAMENTALS - UNITS'!Q31</f>
        <v/>
      </c>
    </row>
    <row r="28" spans="1:10" x14ac:dyDescent="0.35">
      <c r="A28" s="55">
        <v>79545312</v>
      </c>
      <c r="C28" s="304" t="s">
        <v>179</v>
      </c>
      <c r="D28" s="112" t="str">
        <f>'2025 ORNAMENTALS - UNITS'!H32</f>
        <v>1-11 units</v>
      </c>
      <c r="E28" s="57">
        <f>'2025 ORNAMENTALS - UNITS'!I32</f>
        <v>0</v>
      </c>
      <c r="F28" s="115">
        <f>'2025 ORNAMENTALS - UNITS'!J32</f>
        <v>384.8</v>
      </c>
      <c r="G28" s="115">
        <f>'2025 ORNAMENTALS - UNITS'!L32</f>
        <v>384.8</v>
      </c>
      <c r="H28" s="116" t="str">
        <f>'2025 ORNAMENTALS - UNITS'!M32</f>
        <v/>
      </c>
      <c r="I28" s="144" t="str">
        <f>'2025 ORNAMENTALS - UNITS'!P32</f>
        <v/>
      </c>
      <c r="J28" s="128" t="str">
        <f>'2025 ORNAMENTALS - UNITS'!Q32</f>
        <v/>
      </c>
    </row>
    <row r="29" spans="1:10" x14ac:dyDescent="0.35">
      <c r="A29" s="55">
        <v>11013862</v>
      </c>
      <c r="C29" s="304"/>
      <c r="D29" s="113" t="str">
        <f>'2025 ORNAMENTALS - UNITS'!H33</f>
        <v>12-29 units</v>
      </c>
      <c r="E29" s="58">
        <f>'2025 ORNAMENTALS - UNITS'!I33</f>
        <v>0</v>
      </c>
      <c r="F29" s="117">
        <f>'2025 ORNAMENTALS - UNITS'!J33</f>
        <v>384.8</v>
      </c>
      <c r="G29" s="117">
        <f>'2025 ORNAMENTALS - UNITS'!L33</f>
        <v>365.6</v>
      </c>
      <c r="H29" s="118" t="str">
        <f>'2025 ORNAMENTALS - UNITS'!M33</f>
        <v/>
      </c>
      <c r="I29" s="145" t="str">
        <f>'2025 ORNAMENTALS - UNITS'!P33</f>
        <v/>
      </c>
      <c r="J29" s="129" t="str">
        <f>'2025 ORNAMENTALS - UNITS'!Q33</f>
        <v/>
      </c>
    </row>
    <row r="30" spans="1:10" x14ac:dyDescent="0.35">
      <c r="A30" s="55" t="s">
        <v>54</v>
      </c>
      <c r="C30" s="304"/>
      <c r="D30" s="121" t="str">
        <f>'2025 ORNAMENTALS - UNITS'!H34</f>
        <v>30+ units</v>
      </c>
      <c r="E30" s="122">
        <f>'2025 ORNAMENTALS - UNITS'!I34</f>
        <v>0</v>
      </c>
      <c r="F30" s="123">
        <f>'2025 ORNAMENTALS - UNITS'!J34</f>
        <v>384.8</v>
      </c>
      <c r="G30" s="123">
        <f>'2025 ORNAMENTALS - UNITS'!L34</f>
        <v>346.32</v>
      </c>
      <c r="H30" s="124" t="str">
        <f>'2025 ORNAMENTALS - UNITS'!M34</f>
        <v/>
      </c>
      <c r="I30" s="147" t="str">
        <f>'2025 ORNAMENTALS - UNITS'!P34</f>
        <v/>
      </c>
      <c r="J30" s="131" t="str">
        <f>'2025 ORNAMENTALS - UNITS'!Q34</f>
        <v/>
      </c>
    </row>
    <row r="31" spans="1:10" ht="18.75" customHeight="1" x14ac:dyDescent="0.35">
      <c r="C31" s="150" t="s">
        <v>163</v>
      </c>
      <c r="D31" s="151"/>
      <c r="E31" s="152"/>
      <c r="F31" s="153"/>
      <c r="G31" s="153"/>
      <c r="H31" s="154"/>
      <c r="I31" s="154"/>
      <c r="J31" s="155"/>
    </row>
    <row r="32" spans="1:10" ht="17.25" customHeight="1" x14ac:dyDescent="0.35">
      <c r="A32" s="55" t="s">
        <v>54</v>
      </c>
      <c r="C32" s="132" t="s">
        <v>201</v>
      </c>
      <c r="D32" s="125" t="s">
        <v>164</v>
      </c>
      <c r="E32" s="57">
        <f>'2025 ORNAMENTALS - UNITS'!I40</f>
        <v>0</v>
      </c>
      <c r="F32" s="115">
        <f>IF(E32="","",'2025 ORNAMENTALS - UNITS'!J40)</f>
        <v>193.38</v>
      </c>
      <c r="G32" s="127" t="str">
        <f>IF(E32="","","n/a")</f>
        <v>n/a</v>
      </c>
      <c r="H32" s="116">
        <f>IF(E32="","",E32*F32)</f>
        <v>0</v>
      </c>
      <c r="I32" s="144">
        <f>IF(E32="","",IF(E32&gt;=8,'2025 ORNAMENTALS - UNITS'!J40-'2025 ORNAMENTALS - UNITS'!H40,'2025 ORNAMENTALS - UNITS'!J40))</f>
        <v>193.38</v>
      </c>
      <c r="J32" s="128">
        <f>IF(E32="","",E32*I32)</f>
        <v>0</v>
      </c>
    </row>
    <row r="33" spans="3:12" ht="17.25" customHeight="1" x14ac:dyDescent="0.35">
      <c r="C33" s="133" t="s">
        <v>202</v>
      </c>
      <c r="D33" s="126" t="s">
        <v>164</v>
      </c>
      <c r="E33" s="58">
        <f>'2025 ORNAMENTALS - UNITS'!I41</f>
        <v>0</v>
      </c>
      <c r="F33" s="117">
        <f>IF(E33="","",'2025 ORNAMENTALS - UNITS'!J41)</f>
        <v>260.10000000000002</v>
      </c>
      <c r="G33" s="127" t="str">
        <f t="shared" ref="G33:G36" si="0">IF(E33="","","n/a")</f>
        <v>n/a</v>
      </c>
      <c r="H33" s="118">
        <f t="shared" ref="H33:H36" si="1">IF(E33="","",E33*F33)</f>
        <v>0</v>
      </c>
      <c r="I33" s="145">
        <f>IF(E33="","",IF(E33&gt;=4,'2025 ORNAMENTALS - UNITS'!J41-'2025 ORNAMENTALS - UNITS'!H41,'2025 ORNAMENTALS - UNITS'!J41))</f>
        <v>260.10000000000002</v>
      </c>
      <c r="J33" s="129">
        <f t="shared" ref="J33:J36" si="2">IF(E33="","",E33*I33)</f>
        <v>0</v>
      </c>
    </row>
    <row r="34" spans="3:12" ht="17.25" customHeight="1" x14ac:dyDescent="0.35">
      <c r="C34" s="133" t="s">
        <v>203</v>
      </c>
      <c r="D34" s="126" t="s">
        <v>164</v>
      </c>
      <c r="E34" s="58">
        <f>'2025 ORNAMENTALS - UNITS'!I42</f>
        <v>0</v>
      </c>
      <c r="F34" s="117">
        <f>IF(E34="","",'2025 ORNAMENTALS - UNITS'!J42)</f>
        <v>329.75</v>
      </c>
      <c r="G34" s="127" t="str">
        <f t="shared" si="0"/>
        <v>n/a</v>
      </c>
      <c r="H34" s="118">
        <f t="shared" si="1"/>
        <v>0</v>
      </c>
      <c r="I34" s="145">
        <f>IF(E34="","",IF(E34&gt;=4,'2025 ORNAMENTALS - UNITS'!J42-'2025 ORNAMENTALS - UNITS'!H42,'2025 ORNAMENTALS - UNITS'!J42))</f>
        <v>329.75</v>
      </c>
      <c r="J34" s="129">
        <f t="shared" si="2"/>
        <v>0</v>
      </c>
    </row>
    <row r="35" spans="3:12" ht="17.25" customHeight="1" x14ac:dyDescent="0.35">
      <c r="C35" s="133" t="s">
        <v>204</v>
      </c>
      <c r="D35" s="126" t="s">
        <v>164</v>
      </c>
      <c r="E35" s="58">
        <f>'2025 ORNAMENTALS - UNITS'!I43</f>
        <v>0</v>
      </c>
      <c r="F35" s="117">
        <f>IF(E35="","",'2025 ORNAMENTALS - UNITS'!J43)</f>
        <v>417.6</v>
      </c>
      <c r="G35" s="127" t="str">
        <f t="shared" si="0"/>
        <v>n/a</v>
      </c>
      <c r="H35" s="118">
        <f t="shared" si="1"/>
        <v>0</v>
      </c>
      <c r="I35" s="145">
        <f>IF(E35="","",IF(E35&gt;=4,'2025 ORNAMENTALS - UNITS'!J43-'2025 ORNAMENTALS - UNITS'!H43,'2025 ORNAMENTALS - UNITS'!J43))</f>
        <v>417.6</v>
      </c>
      <c r="J35" s="129">
        <f t="shared" si="2"/>
        <v>0</v>
      </c>
    </row>
    <row r="36" spans="3:12" ht="17.25" customHeight="1" thickBot="1" x14ac:dyDescent="0.4">
      <c r="C36" s="134" t="s">
        <v>205</v>
      </c>
      <c r="D36" s="135" t="s">
        <v>164</v>
      </c>
      <c r="E36" s="136">
        <f>'2025 ORNAMENTALS - UNITS'!I44</f>
        <v>0</v>
      </c>
      <c r="F36" s="137">
        <f>IF(E36="","",'2025 ORNAMENTALS - UNITS'!J44)</f>
        <v>60.72</v>
      </c>
      <c r="G36" s="138" t="str">
        <f t="shared" si="0"/>
        <v>n/a</v>
      </c>
      <c r="H36" s="139">
        <f t="shared" si="1"/>
        <v>0</v>
      </c>
      <c r="I36" s="148">
        <f>IF(E36="","",IF(E36&gt;=4,'2025 ORNAMENTALS - UNITS'!J44-'2025 ORNAMENTALS - UNITS'!H44,'2025 ORNAMENTALS - UNITS'!J44))</f>
        <v>60.72</v>
      </c>
      <c r="J36" s="140">
        <f t="shared" si="2"/>
        <v>0</v>
      </c>
    </row>
    <row r="37" spans="3:12" ht="18" customHeight="1" thickTop="1" x14ac:dyDescent="0.35">
      <c r="C37" s="59"/>
      <c r="D37" s="59"/>
      <c r="E37" s="59"/>
      <c r="F37" s="59"/>
      <c r="G37" s="60"/>
      <c r="H37" s="141">
        <f>SUM(H13:H36)</f>
        <v>0</v>
      </c>
      <c r="I37" s="142"/>
      <c r="J37" s="141">
        <f>SUM(J13:J36)</f>
        <v>0</v>
      </c>
      <c r="L37" s="231"/>
    </row>
    <row r="38" spans="3:12" ht="16" thickBot="1" x14ac:dyDescent="0.4">
      <c r="C38" s="61" t="s">
        <v>10</v>
      </c>
      <c r="D38" s="61"/>
      <c r="E38" s="61"/>
      <c r="F38" s="61"/>
      <c r="G38" s="61"/>
      <c r="H38" s="61"/>
      <c r="I38" s="61"/>
      <c r="J38" s="61"/>
    </row>
    <row r="39" spans="3:12" ht="15.75" customHeight="1" thickTop="1" x14ac:dyDescent="0.35">
      <c r="C39" s="344" t="s">
        <v>11</v>
      </c>
      <c r="D39" s="344"/>
      <c r="E39" s="344"/>
      <c r="F39" s="344"/>
      <c r="G39" s="344"/>
      <c r="H39" s="344"/>
      <c r="I39" s="344"/>
      <c r="J39" s="90"/>
    </row>
    <row r="40" spans="3:12" ht="15" thickBot="1" x14ac:dyDescent="0.4">
      <c r="C40" s="345"/>
      <c r="D40" s="345"/>
      <c r="E40" s="345"/>
      <c r="F40" s="345"/>
      <c r="G40" s="345"/>
      <c r="H40" s="345"/>
      <c r="I40" s="345"/>
      <c r="J40" s="90"/>
    </row>
    <row r="41" spans="3:12" ht="19.5" customHeight="1" thickTop="1" x14ac:dyDescent="0.35">
      <c r="C41" s="299" t="str">
        <f>'2025 ORNAMENTALS - UNITS'!F50</f>
        <v>Estimated Total Before Off Invoice Discounts:</v>
      </c>
      <c r="D41" s="300"/>
      <c r="E41" s="300"/>
      <c r="F41" s="300"/>
      <c r="G41" s="283">
        <f>'2025 ORNAMENTALS - UNITS'!H50</f>
        <v>0</v>
      </c>
      <c r="H41" s="284"/>
    </row>
    <row r="42" spans="3:12" ht="19.5" customHeight="1" x14ac:dyDescent="0.35">
      <c r="C42" s="297" t="str">
        <f>'2025 ORNAMENTALS - UNITS'!F51</f>
        <v>Estimated Total After Off Invoice Total:</v>
      </c>
      <c r="D42" s="298"/>
      <c r="E42" s="298"/>
      <c r="F42" s="298"/>
      <c r="G42" s="295">
        <f>'2025 ORNAMENTALS - UNITS'!H51</f>
        <v>0</v>
      </c>
      <c r="H42" s="296"/>
    </row>
    <row r="43" spans="3:12" ht="18" customHeight="1" thickBot="1" x14ac:dyDescent="0.4">
      <c r="C43" s="346" t="str">
        <f>'2025 ORNAMENTALS - UNITS'!F52</f>
        <v>Estimated Off-Invoice Discount:</v>
      </c>
      <c r="D43" s="347"/>
      <c r="E43" s="347"/>
      <c r="F43" s="347"/>
      <c r="G43" s="111" t="str">
        <f>'2025 ORNAMENTALS - UNITS'!H52</f>
        <v>n/a</v>
      </c>
      <c r="H43" s="149">
        <f>'2025 ORNAMENTALS - UNITS'!I52</f>
        <v>0</v>
      </c>
    </row>
    <row r="44" spans="3:12" ht="18" customHeight="1" x14ac:dyDescent="0.35">
      <c r="C44" s="339" t="str">
        <f>'2025 ORNAMENTALS - UNITS'!F53</f>
        <v>Multi-Brand Rebate, Volume Rebate and Tier Rebate</v>
      </c>
      <c r="D44" s="340"/>
      <c r="E44" s="340"/>
      <c r="F44" s="340"/>
      <c r="G44" s="340"/>
      <c r="H44" s="341"/>
    </row>
    <row r="45" spans="3:12" ht="18" customHeight="1" x14ac:dyDescent="0.35">
      <c r="C45" s="305" t="str">
        <f>'2025 ORNAMENTALS - UNITS'!F54</f>
        <v>Estimated Multi-Brand Rebate:</v>
      </c>
      <c r="D45" s="306"/>
      <c r="E45" s="306"/>
      <c r="F45" s="306"/>
      <c r="G45" s="84" t="str">
        <f>'2025 ORNAMENTALS - UNITS'!H54</f>
        <v>n/a</v>
      </c>
      <c r="H45" s="51">
        <f>'2025 ORNAMENTALS - UNITS'!I54</f>
        <v>0</v>
      </c>
    </row>
    <row r="46" spans="3:12" ht="18" customHeight="1" x14ac:dyDescent="0.35">
      <c r="C46" s="305" t="str">
        <f>'2025 ORNAMENTALS - UNITS'!F55</f>
        <v>Estimated Volume Buy Rebate (non-agency):</v>
      </c>
      <c r="D46" s="306"/>
      <c r="E46" s="306"/>
      <c r="F46" s="306"/>
      <c r="G46" s="84" t="str">
        <f>'2025 ORNAMENTALS - UNITS'!H55</f>
        <v>n/a</v>
      </c>
      <c r="H46" s="51">
        <f>'2025 ORNAMENTALS - UNITS'!I55</f>
        <v>0</v>
      </c>
    </row>
    <row r="47" spans="3:12" ht="18" customHeight="1" x14ac:dyDescent="0.35">
      <c r="C47" s="305" t="str">
        <f>'2025 ORNAMENTALS - UNITS'!F56</f>
        <v>Estimated Tier Rebate:</v>
      </c>
      <c r="D47" s="306"/>
      <c r="E47" s="306"/>
      <c r="F47" s="306"/>
      <c r="G47" s="84" t="str">
        <f>'2025 ORNAMENTALS - UNITS'!H56</f>
        <v>n/a</v>
      </c>
      <c r="H47" s="51">
        <f>'2025 ORNAMENTALS - UNITS'!I56</f>
        <v>0</v>
      </c>
    </row>
    <row r="48" spans="3:12" ht="18" customHeight="1" x14ac:dyDescent="0.35">
      <c r="C48" s="307" t="str">
        <f>'2025 ORNAMENTALS - UNITS'!F57</f>
        <v>Estimated Total Rebate:</v>
      </c>
      <c r="D48" s="308"/>
      <c r="E48" s="308"/>
      <c r="F48" s="308"/>
      <c r="G48" s="85">
        <f>'2025 ORNAMENTALS - UNITS'!H57</f>
        <v>0</v>
      </c>
      <c r="H48" s="50">
        <f>'2025 ORNAMENTALS - UNITS'!I57</f>
        <v>0</v>
      </c>
    </row>
    <row r="49" spans="3:15" ht="21.75" customHeight="1" thickBot="1" x14ac:dyDescent="0.4">
      <c r="C49" s="251" t="str">
        <f>'2025 ORNAMENTALS - UNITS'!F58</f>
        <v>Estimated Net Total after Rebates &amp; Discounts:</v>
      </c>
      <c r="D49" s="252"/>
      <c r="E49" s="252"/>
      <c r="F49" s="252"/>
      <c r="G49" s="309">
        <f>'2025 ORNAMENTALS - UNITS'!H58</f>
        <v>0</v>
      </c>
      <c r="H49" s="310"/>
    </row>
    <row r="50" spans="3:15" ht="6.75" customHeight="1" thickTop="1" thickBot="1" x14ac:dyDescent="0.4">
      <c r="C50" s="83"/>
      <c r="D50" s="83"/>
      <c r="E50" s="83"/>
      <c r="F50" s="83"/>
    </row>
    <row r="51" spans="3:15" ht="21.75" customHeight="1" thickTop="1" thickBot="1" x14ac:dyDescent="0.4">
      <c r="C51" s="301" t="str">
        <f>'2025 ORNAMENTALS - UNITS'!F60</f>
        <v>Estimated MER points to be earned: 0</v>
      </c>
      <c r="D51" s="302"/>
      <c r="E51" s="302"/>
      <c r="F51" s="302"/>
      <c r="G51" s="302"/>
      <c r="H51" s="303"/>
    </row>
    <row r="52" spans="3:15" ht="15" thickTop="1" x14ac:dyDescent="0.35"/>
    <row r="53" spans="3:15" ht="15" customHeight="1" x14ac:dyDescent="0.35">
      <c r="C53" s="330" t="s">
        <v>208</v>
      </c>
      <c r="D53" s="330"/>
      <c r="E53" s="330"/>
      <c r="F53" s="330"/>
      <c r="G53" s="330"/>
      <c r="H53" s="330"/>
      <c r="I53" s="330"/>
      <c r="J53" s="330"/>
      <c r="K53" s="73"/>
      <c r="L53" s="73"/>
      <c r="M53" s="73"/>
      <c r="N53" s="73"/>
      <c r="O53" s="73"/>
    </row>
    <row r="54" spans="3:15" x14ac:dyDescent="0.35">
      <c r="C54" s="330"/>
      <c r="D54" s="330"/>
      <c r="E54" s="330"/>
      <c r="F54" s="330"/>
      <c r="G54" s="330"/>
      <c r="H54" s="330"/>
      <c r="I54" s="330"/>
      <c r="J54" s="330"/>
      <c r="K54" s="73"/>
      <c r="L54" s="73"/>
      <c r="M54" s="73"/>
      <c r="N54" s="73"/>
      <c r="O54" s="73"/>
    </row>
    <row r="55" spans="3:15" x14ac:dyDescent="0.35">
      <c r="C55" s="330"/>
      <c r="D55" s="330"/>
      <c r="E55" s="330"/>
      <c r="F55" s="330"/>
      <c r="G55" s="330"/>
      <c r="H55" s="330"/>
      <c r="I55" s="330"/>
      <c r="J55" s="330"/>
      <c r="K55" s="73"/>
      <c r="L55" s="73"/>
      <c r="M55" s="73"/>
      <c r="N55" s="73"/>
      <c r="O55" s="73"/>
    </row>
    <row r="56" spans="3:15" x14ac:dyDescent="0.35">
      <c r="C56" s="330"/>
      <c r="D56" s="330"/>
      <c r="E56" s="330"/>
      <c r="F56" s="330"/>
      <c r="G56" s="330"/>
      <c r="H56" s="330"/>
      <c r="I56" s="330"/>
      <c r="J56" s="330"/>
      <c r="K56" s="73"/>
      <c r="L56" s="73"/>
      <c r="M56" s="73"/>
      <c r="N56" s="73"/>
      <c r="O56" s="73"/>
    </row>
    <row r="57" spans="3:15" x14ac:dyDescent="0.35">
      <c r="C57" s="330"/>
      <c r="D57" s="330"/>
      <c r="E57" s="330"/>
      <c r="F57" s="330"/>
      <c r="G57" s="330"/>
      <c r="H57" s="330"/>
      <c r="I57" s="330"/>
      <c r="J57" s="330"/>
      <c r="K57" s="73"/>
      <c r="L57" s="73"/>
      <c r="M57" s="73"/>
      <c r="N57" s="73"/>
      <c r="O57" s="73"/>
    </row>
    <row r="58" spans="3:15" x14ac:dyDescent="0.35">
      <c r="C58" s="330"/>
      <c r="D58" s="330"/>
      <c r="E58" s="330"/>
      <c r="F58" s="330"/>
      <c r="G58" s="330"/>
      <c r="H58" s="330"/>
      <c r="I58" s="330"/>
      <c r="J58" s="330"/>
      <c r="K58" s="73"/>
      <c r="L58" s="73"/>
      <c r="M58" s="73"/>
      <c r="N58" s="73"/>
      <c r="O58" s="73"/>
    </row>
    <row r="59" spans="3:15" x14ac:dyDescent="0.35">
      <c r="C59" s="330"/>
      <c r="D59" s="330"/>
      <c r="E59" s="330"/>
      <c r="F59" s="330"/>
      <c r="G59" s="330"/>
      <c r="H59" s="330"/>
      <c r="I59" s="330"/>
      <c r="J59" s="330"/>
    </row>
    <row r="60" spans="3:15" ht="9.75" customHeight="1" x14ac:dyDescent="0.35">
      <c r="C60" s="330"/>
      <c r="D60" s="330"/>
      <c r="E60" s="330"/>
      <c r="F60" s="330"/>
      <c r="G60" s="330"/>
      <c r="H60" s="330"/>
      <c r="I60" s="330"/>
      <c r="J60" s="330"/>
    </row>
    <row r="61" spans="3:15" ht="15" customHeight="1" x14ac:dyDescent="0.35">
      <c r="C61" s="330"/>
      <c r="D61" s="330"/>
      <c r="E61" s="330"/>
      <c r="F61" s="330"/>
      <c r="G61" s="330"/>
      <c r="H61" s="330"/>
      <c r="I61" s="330"/>
      <c r="J61" s="330"/>
    </row>
    <row r="62" spans="3:15" ht="15" customHeight="1" x14ac:dyDescent="0.35">
      <c r="C62" s="330"/>
      <c r="D62" s="330"/>
      <c r="E62" s="330"/>
      <c r="F62" s="330"/>
      <c r="G62" s="330"/>
      <c r="H62" s="330"/>
      <c r="I62" s="330"/>
      <c r="J62" s="330"/>
    </row>
    <row r="63" spans="3:15" x14ac:dyDescent="0.35">
      <c r="C63" s="330"/>
      <c r="D63" s="330"/>
      <c r="E63" s="330"/>
      <c r="F63" s="330"/>
      <c r="G63" s="330"/>
      <c r="H63" s="330"/>
      <c r="I63" s="330"/>
      <c r="J63" s="330"/>
    </row>
    <row r="64" spans="3:15" ht="15" customHeight="1" x14ac:dyDescent="0.35">
      <c r="C64" s="330"/>
      <c r="D64" s="330"/>
      <c r="E64" s="330"/>
      <c r="F64" s="330"/>
      <c r="G64" s="330"/>
      <c r="H64" s="330"/>
      <c r="I64" s="330"/>
      <c r="J64" s="330"/>
      <c r="K64" s="81"/>
      <c r="L64" s="81"/>
      <c r="M64" s="81"/>
      <c r="N64" s="81"/>
      <c r="O64" s="81"/>
    </row>
    <row r="65" spans="3:15" x14ac:dyDescent="0.35">
      <c r="C65" s="81"/>
      <c r="D65" s="81"/>
      <c r="E65" s="81"/>
      <c r="F65" s="81"/>
      <c r="G65" s="81"/>
      <c r="H65" s="81"/>
      <c r="I65" s="81"/>
      <c r="J65" s="81"/>
      <c r="K65" s="81"/>
      <c r="L65" s="81"/>
      <c r="M65" s="81"/>
      <c r="N65" s="81"/>
      <c r="O65" s="81"/>
    </row>
    <row r="66" spans="3:15" x14ac:dyDescent="0.35">
      <c r="C66" s="81"/>
      <c r="D66" s="81"/>
      <c r="E66" s="81"/>
      <c r="F66" s="81"/>
      <c r="G66" s="81"/>
      <c r="H66" s="81"/>
      <c r="I66" s="81"/>
      <c r="J66" s="89"/>
      <c r="K66" s="81"/>
      <c r="L66" s="81"/>
      <c r="M66" s="81"/>
      <c r="N66" s="81"/>
      <c r="O66" s="81"/>
    </row>
    <row r="67" spans="3:15" x14ac:dyDescent="0.35">
      <c r="C67" s="81"/>
      <c r="D67" s="81"/>
      <c r="E67" s="81"/>
      <c r="F67" s="81"/>
      <c r="G67" s="81"/>
      <c r="H67" s="81"/>
      <c r="I67" s="81"/>
      <c r="J67" s="81"/>
      <c r="K67" s="81"/>
      <c r="L67" s="81"/>
      <c r="M67" s="81"/>
      <c r="N67" s="81"/>
      <c r="O67" s="81"/>
    </row>
    <row r="87" ht="8.5" customHeight="1" x14ac:dyDescent="0.35"/>
    <row r="88" ht="12" customHeight="1" x14ac:dyDescent="0.35"/>
    <row r="89" ht="9" customHeight="1" x14ac:dyDescent="0.35"/>
    <row r="97" ht="17.5" customHeight="1" x14ac:dyDescent="0.35"/>
  </sheetData>
  <sheetProtection algorithmName="SHA-512" hashValue="OnPKwbf6KnDFvSxO4bvCLAKFszZr5tRPq75UzlXPtd5+r4t5ETw3Z6G4sC/mmTWOaEVOT2LxmW6und394/+vDg==" saltValue="Jj3ru3GYKwxw9Vlvrkd6Aw==" spinCount="100000" sheet="1" selectLockedCells="1"/>
  <mergeCells count="36">
    <mergeCell ref="C53:J64"/>
    <mergeCell ref="I10:I12"/>
    <mergeCell ref="G42:H42"/>
    <mergeCell ref="J10:J12"/>
    <mergeCell ref="D8:G8"/>
    <mergeCell ref="C44:H44"/>
    <mergeCell ref="C13:C15"/>
    <mergeCell ref="C45:F45"/>
    <mergeCell ref="C39:I40"/>
    <mergeCell ref="H10:H12"/>
    <mergeCell ref="C25:C27"/>
    <mergeCell ref="C22:C24"/>
    <mergeCell ref="C19:C21"/>
    <mergeCell ref="C16:C18"/>
    <mergeCell ref="C43:F43"/>
    <mergeCell ref="C42:F42"/>
    <mergeCell ref="D7:G7"/>
    <mergeCell ref="C10:C12"/>
    <mergeCell ref="E10:E12"/>
    <mergeCell ref="G10:G12"/>
    <mergeCell ref="F10:F12"/>
    <mergeCell ref="D10:D12"/>
    <mergeCell ref="C2:G2"/>
    <mergeCell ref="D3:G3"/>
    <mergeCell ref="D4:G4"/>
    <mergeCell ref="D5:G5"/>
    <mergeCell ref="D6:G6"/>
    <mergeCell ref="C51:H51"/>
    <mergeCell ref="C41:F41"/>
    <mergeCell ref="G41:H41"/>
    <mergeCell ref="C28:C30"/>
    <mergeCell ref="C46:F46"/>
    <mergeCell ref="C49:F49"/>
    <mergeCell ref="C48:F48"/>
    <mergeCell ref="C47:F47"/>
    <mergeCell ref="G49:H49"/>
  </mergeCells>
  <conditionalFormatting sqref="E13:J30 E32:J36">
    <cfRule type="expression" dxfId="53" priority="5">
      <formula>OR(ISBLANK($E13),$E13=0)</formula>
    </cfRule>
  </conditionalFormatting>
  <conditionalFormatting sqref="G43 G45:G48">
    <cfRule type="cellIs" dxfId="52" priority="4" operator="equal">
      <formula>"n/a"</formula>
    </cfRule>
  </conditionalFormatting>
  <conditionalFormatting sqref="H45:H47">
    <cfRule type="cellIs" dxfId="51" priority="3" operator="equal">
      <formula>"n/a"</formula>
    </cfRule>
  </conditionalFormatting>
  <pageMargins left="0.7" right="0.7" top="0.75" bottom="0.75" header="0.3" footer="0.3"/>
  <pageSetup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E2ED0-345C-47ED-B0B3-2B24EB791F44}">
  <sheetPr codeName="Sheet7">
    <tabColor theme="1"/>
  </sheetPr>
  <dimension ref="B1:R79"/>
  <sheetViews>
    <sheetView showGridLines="0" zoomScale="80" zoomScaleNormal="80" workbookViewId="0">
      <selection activeCell="B7" sqref="B7"/>
    </sheetView>
  </sheetViews>
  <sheetFormatPr defaultRowHeight="14.5" x14ac:dyDescent="0.35"/>
  <cols>
    <col min="1" max="1" width="4.81640625" customWidth="1"/>
    <col min="2" max="2" width="19" style="19" customWidth="1"/>
    <col min="3" max="3" width="14.453125" style="19" customWidth="1"/>
    <col min="4" max="4" width="25.26953125" customWidth="1"/>
    <col min="5" max="5" width="15.26953125" customWidth="1"/>
    <col min="6" max="6" width="12.26953125" customWidth="1"/>
    <col min="7" max="9" width="14.54296875" customWidth="1"/>
    <col min="10" max="12" width="15.81640625" customWidth="1"/>
    <col min="13" max="15" width="20.81640625" customWidth="1"/>
    <col min="16" max="16" width="21.7265625" customWidth="1"/>
  </cols>
  <sheetData>
    <row r="1" spans="2:18" ht="15" thickBot="1" x14ac:dyDescent="0.4">
      <c r="P1" s="1">
        <f>COUNTIF(Rebate_Lookup[Volume Buy Counter],TRUE)</f>
        <v>0</v>
      </c>
    </row>
    <row r="2" spans="2:18" ht="15.5" thickTop="1" thickBot="1" x14ac:dyDescent="0.4">
      <c r="B2" s="35" t="s">
        <v>60</v>
      </c>
      <c r="C2" s="44" t="s">
        <v>13</v>
      </c>
      <c r="D2" s="36" t="s">
        <v>61</v>
      </c>
      <c r="E2" s="36" t="s">
        <v>21</v>
      </c>
      <c r="F2" s="37" t="s">
        <v>62</v>
      </c>
      <c r="G2" s="27" t="s">
        <v>65</v>
      </c>
      <c r="H2" s="28" t="s">
        <v>64</v>
      </c>
      <c r="I2" s="29" t="s">
        <v>63</v>
      </c>
      <c r="J2" s="27" t="s">
        <v>66</v>
      </c>
      <c r="K2" s="28" t="s">
        <v>67</v>
      </c>
      <c r="L2" s="29" t="s">
        <v>68</v>
      </c>
      <c r="M2" s="45" t="s">
        <v>70</v>
      </c>
      <c r="N2" s="45" t="s">
        <v>71</v>
      </c>
      <c r="O2" s="45" t="s">
        <v>85</v>
      </c>
      <c r="P2" t="s">
        <v>84</v>
      </c>
    </row>
    <row r="3" spans="2:18" ht="15" thickTop="1" x14ac:dyDescent="0.35">
      <c r="B3" s="30" t="s">
        <v>101</v>
      </c>
      <c r="C3" s="92" t="s">
        <v>35</v>
      </c>
      <c r="D3" s="31" t="s">
        <v>102</v>
      </c>
      <c r="E3" s="31" t="s">
        <v>37</v>
      </c>
      <c r="F3" s="32">
        <v>2</v>
      </c>
      <c r="G3" s="22">
        <v>1</v>
      </c>
      <c r="H3" s="23">
        <v>16</v>
      </c>
      <c r="I3" s="24">
        <v>32</v>
      </c>
      <c r="J3" s="38"/>
      <c r="K3" s="39"/>
      <c r="L3" s="40"/>
      <c r="M3" s="45">
        <f>INDEX('2025 ORNAMENTALS - UNITS'!I:I,MATCH(Rebate_Lookup[[#This Row],[SKU CODE]],'2025 ORNAMENTALS - UNITS'!A:A,0))</f>
        <v>0</v>
      </c>
      <c r="N3"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 s="45">
        <f>COUNTIF('2025 ORNAMENTALS - UNITS'!A:A,Rebate_Lookup[[#This Row],[SKU CODE]])</f>
        <v>3</v>
      </c>
      <c r="P3" t="b">
        <f>IFERROR(Rebate_Lookup[[#This Row],[Order Form Quantity]]&gt;=Rebate_Lookup[[#This Row],[MOQ_2]],0)</f>
        <v>0</v>
      </c>
      <c r="R3">
        <f>COUNTIF('2025 ORNAMENTALS - UNITS'!A:A,Rebate_Lookup[[#This Row],[SKU CODE]])</f>
        <v>3</v>
      </c>
    </row>
    <row r="4" spans="2:18" x14ac:dyDescent="0.35">
      <c r="B4" s="33" t="s">
        <v>115</v>
      </c>
      <c r="C4" s="93" t="s">
        <v>35</v>
      </c>
      <c r="D4" s="20" t="s">
        <v>116</v>
      </c>
      <c r="E4" s="20" t="s">
        <v>57</v>
      </c>
      <c r="F4" s="34">
        <v>2</v>
      </c>
      <c r="G4" s="25">
        <v>1</v>
      </c>
      <c r="H4" s="21">
        <v>16</v>
      </c>
      <c r="I4" s="26">
        <v>32</v>
      </c>
      <c r="J4" s="41"/>
      <c r="K4" s="42"/>
      <c r="L4" s="43"/>
      <c r="M4" s="45">
        <f>INDEX('2025 ORNAMENTALS - UNITS'!I:I,MATCH(Rebate_Lookup[[#This Row],[SKU CODE]],'2025 ORNAMENTALS - UNITS'!A:A,0))</f>
        <v>0</v>
      </c>
      <c r="N4"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 s="45">
        <f>COUNTIF('2025 ORNAMENTALS - UNITS'!A:A,Rebate_Lookup[[#This Row],[SKU CODE]])</f>
        <v>3</v>
      </c>
      <c r="P4" t="b">
        <f>IFERROR(Rebate_Lookup[[#This Row],[Order Form Quantity]]&gt;=Rebate_Lookup[[#This Row],[MOQ_2]],0)</f>
        <v>0</v>
      </c>
      <c r="R4">
        <f>COUNTIF('2025 ORNAMENTALS - UNITS'!A:A,Rebate_Lookup[[#This Row],[SKU CODE]])</f>
        <v>3</v>
      </c>
    </row>
    <row r="5" spans="2:18" x14ac:dyDescent="0.35">
      <c r="B5" s="33" t="s">
        <v>120</v>
      </c>
      <c r="C5" s="93" t="s">
        <v>35</v>
      </c>
      <c r="D5" s="20" t="s">
        <v>83</v>
      </c>
      <c r="E5" s="20" t="s">
        <v>119</v>
      </c>
      <c r="F5" s="34">
        <v>2</v>
      </c>
      <c r="G5" s="25">
        <v>1</v>
      </c>
      <c r="H5" s="21">
        <v>4</v>
      </c>
      <c r="I5" s="26">
        <v>16</v>
      </c>
      <c r="J5" s="41"/>
      <c r="K5" s="42"/>
      <c r="L5" s="43"/>
      <c r="M5" s="45">
        <f>INDEX('2025 ORNAMENTALS - UNITS'!I:I,MATCH(Rebate_Lookup[[#This Row],[SKU CODE]],'2025 ORNAMENTALS - UNITS'!A:A,0))</f>
        <v>0</v>
      </c>
      <c r="N5"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 s="45">
        <f>COUNTIF('2025 ORNAMENTALS - UNITS'!A:A,Rebate_Lookup[[#This Row],[SKU CODE]])</f>
        <v>3</v>
      </c>
      <c r="P5" t="b">
        <f>IFERROR(Rebate_Lookup[[#This Row],[Order Form Quantity]]&gt;=Rebate_Lookup[[#This Row],[MOQ_2]],0)</f>
        <v>0</v>
      </c>
      <c r="R5">
        <f>COUNTIF('2025 ORNAMENTALS - UNITS'!A:A,Rebate_Lookup[[#This Row],[SKU CODE]])</f>
        <v>3</v>
      </c>
    </row>
    <row r="6" spans="2:18" x14ac:dyDescent="0.35">
      <c r="B6" s="33" t="s">
        <v>123</v>
      </c>
      <c r="C6" s="93" t="s">
        <v>35</v>
      </c>
      <c r="D6" s="20" t="s">
        <v>124</v>
      </c>
      <c r="E6" s="20" t="s">
        <v>37</v>
      </c>
      <c r="F6" s="34">
        <v>2</v>
      </c>
      <c r="G6" s="25">
        <v>1</v>
      </c>
      <c r="H6" s="21">
        <v>4</v>
      </c>
      <c r="I6" s="26">
        <v>16</v>
      </c>
      <c r="J6" s="41"/>
      <c r="K6" s="42"/>
      <c r="L6" s="43"/>
      <c r="M6" s="45">
        <f>INDEX('2025 ORNAMENTALS - UNITS'!I:I,MATCH(Rebate_Lookup[[#This Row],[SKU CODE]],'2025 ORNAMENTALS - UNITS'!A:A,0))</f>
        <v>0</v>
      </c>
      <c r="N6"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 s="45">
        <f>COUNTIF('2025 ORNAMENTALS - UNITS'!A:A,Rebate_Lookup[[#This Row],[SKU CODE]])</f>
        <v>3</v>
      </c>
      <c r="P6" t="b">
        <f>IFERROR(Rebate_Lookup[[#This Row],[Order Form Quantity]]&gt;=Rebate_Lookup[[#This Row],[MOQ_2]],0)</f>
        <v>0</v>
      </c>
      <c r="R6">
        <f>COUNTIF('2025 ORNAMENTALS - UNITS'!A:A,Rebate_Lookup[[#This Row],[SKU CODE]])</f>
        <v>3</v>
      </c>
    </row>
    <row r="7" spans="2:18" x14ac:dyDescent="0.35">
      <c r="B7" s="33" t="s">
        <v>126</v>
      </c>
      <c r="C7" s="93" t="s">
        <v>35</v>
      </c>
      <c r="D7" s="20" t="s">
        <v>127</v>
      </c>
      <c r="E7" s="20" t="s">
        <v>55</v>
      </c>
      <c r="F7" s="34">
        <v>2</v>
      </c>
      <c r="G7" s="25">
        <v>1</v>
      </c>
      <c r="H7" s="21">
        <v>40</v>
      </c>
      <c r="I7" s="26">
        <v>120</v>
      </c>
      <c r="J7" s="41"/>
      <c r="K7" s="42"/>
      <c r="L7" s="43"/>
      <c r="M7" s="45">
        <f>INDEX('2025 ORNAMENTALS - UNITS'!I:I,MATCH(Rebate_Lookup[[#This Row],[SKU CODE]],'2025 ORNAMENTALS - UNITS'!A:A,0))</f>
        <v>0</v>
      </c>
      <c r="N7"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 s="45">
        <f>COUNTIF('2025 ORNAMENTALS - UNITS'!A:A,Rebate_Lookup[[#This Row],[SKU CODE]])</f>
        <v>3</v>
      </c>
      <c r="P7" t="b">
        <f>IFERROR(Rebate_Lookup[[#This Row],[Order Form Quantity]]&gt;=Rebate_Lookup[[#This Row],[MOQ_2]],0)</f>
        <v>0</v>
      </c>
      <c r="R7">
        <f>COUNTIF('2025 ORNAMENTALS - UNITS'!A:A,Rebate_Lookup[[#This Row],[SKU CODE]])</f>
        <v>3</v>
      </c>
    </row>
    <row r="8" spans="2:18" x14ac:dyDescent="0.35">
      <c r="B8" s="33" t="s">
        <v>132</v>
      </c>
      <c r="C8" s="93" t="s">
        <v>35</v>
      </c>
      <c r="D8" s="20" t="s">
        <v>133</v>
      </c>
      <c r="E8" s="20" t="s">
        <v>49</v>
      </c>
      <c r="F8" s="34">
        <v>2</v>
      </c>
      <c r="G8" s="25">
        <v>1</v>
      </c>
      <c r="H8" s="21">
        <v>12</v>
      </c>
      <c r="I8" s="26">
        <v>30</v>
      </c>
      <c r="J8" s="41"/>
      <c r="K8" s="42"/>
      <c r="L8" s="43"/>
      <c r="M8" s="45">
        <f>INDEX('2025 ORNAMENTALS - UNITS'!I:I,MATCH(Rebate_Lookup[[#This Row],[SKU CODE]],'2025 ORNAMENTALS - UNITS'!A:A,0))</f>
        <v>0</v>
      </c>
      <c r="N8"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8" s="45">
        <f>COUNTIF('2025 ORNAMENTALS - UNITS'!A:A,Rebate_Lookup[[#This Row],[SKU CODE]])</f>
        <v>3</v>
      </c>
      <c r="P8" t="b">
        <f>IFERROR(Rebate_Lookup[[#This Row],[Order Form Quantity]]&gt;=Rebate_Lookup[[#This Row],[MOQ_2]],0)</f>
        <v>0</v>
      </c>
      <c r="R8">
        <f>COUNTIF('2025 ORNAMENTALS - UNITS'!A:A,Rebate_Lookup[[#This Row],[SKU CODE]])</f>
        <v>3</v>
      </c>
    </row>
    <row r="9" spans="2:18" ht="15" thickTop="1" x14ac:dyDescent="0.35">
      <c r="B9" s="33">
        <v>11008513</v>
      </c>
      <c r="C9" s="93" t="s">
        <v>30</v>
      </c>
      <c r="D9" s="20" t="s">
        <v>109</v>
      </c>
      <c r="E9" s="20" t="s">
        <v>110</v>
      </c>
      <c r="F9" s="34">
        <v>2</v>
      </c>
      <c r="G9" s="25">
        <v>1</v>
      </c>
      <c r="H9" s="21">
        <v>8</v>
      </c>
      <c r="I9" s="26"/>
      <c r="J9" s="41">
        <v>0</v>
      </c>
      <c r="K9" s="42">
        <v>21</v>
      </c>
      <c r="L9" s="43"/>
      <c r="M9" s="45">
        <f>INDEX('2025 ORNAMENTALS - UNITS'!I:I,MATCH(Rebate_Lookup[[#This Row],[SKU CODE]],'2025 ORNAMENTALS - UNITS'!A:A,0))</f>
        <v>0</v>
      </c>
      <c r="N9"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9" s="45">
        <f>COUNTIF('2025 ORNAMENTALS - UNITS'!A:A,Rebate_Lookup[[#This Row],[SKU CODE]])</f>
        <v>1</v>
      </c>
      <c r="P9" t="b">
        <f>IFERROR(Rebate_Lookup[[#This Row],[Order Form Quantity]]&gt;=Rebate_Lookup[[#This Row],[MOQ_2]],0)</f>
        <v>0</v>
      </c>
      <c r="R9">
        <f>COUNTIF('2025 ORNAMENTALS - UNITS'!A:A,Rebate_Lookup[[#This Row],[SKU CODE]])</f>
        <v>1</v>
      </c>
    </row>
    <row r="10" spans="2:18" ht="15" thickTop="1" x14ac:dyDescent="0.35">
      <c r="B10" s="33" t="s">
        <v>112</v>
      </c>
      <c r="C10" s="93" t="s">
        <v>30</v>
      </c>
      <c r="D10" s="20" t="s">
        <v>113</v>
      </c>
      <c r="E10" s="20" t="s">
        <v>52</v>
      </c>
      <c r="F10" s="34">
        <v>2</v>
      </c>
      <c r="G10" s="25">
        <v>1</v>
      </c>
      <c r="H10" s="21">
        <v>4</v>
      </c>
      <c r="I10" s="26"/>
      <c r="J10" s="41">
        <v>0</v>
      </c>
      <c r="K10" s="42">
        <v>12</v>
      </c>
      <c r="L10" s="43"/>
      <c r="M10" s="45">
        <f>INDEX('2025 ORNAMENTALS - UNITS'!I:I,MATCH(Rebate_Lookup[[#This Row],[SKU CODE]],'2025 ORNAMENTALS - UNITS'!A:A,0))</f>
        <v>0</v>
      </c>
      <c r="N10"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0" s="45">
        <f>COUNTIF('2025 ORNAMENTALS - UNITS'!A:A,Rebate_Lookup[[#This Row],[SKU CODE]])</f>
        <v>1</v>
      </c>
      <c r="P10" t="b">
        <f>IFERROR(Rebate_Lookup[[#This Row],[Order Form Quantity]]&gt;=Rebate_Lookup[[#This Row],[MOQ_2]],0)</f>
        <v>0</v>
      </c>
      <c r="R10">
        <f>COUNTIF('2025 ORNAMENTALS - UNITS'!A:A,Rebate_Lookup[[#This Row],[SKU CODE]])</f>
        <v>1</v>
      </c>
    </row>
    <row r="11" spans="2:18" ht="15" thickTop="1" x14ac:dyDescent="0.35">
      <c r="B11" s="33" t="s">
        <v>117</v>
      </c>
      <c r="C11" s="93" t="s">
        <v>30</v>
      </c>
      <c r="D11" s="20" t="s">
        <v>118</v>
      </c>
      <c r="E11" s="20" t="s">
        <v>119</v>
      </c>
      <c r="F11" s="34">
        <v>2</v>
      </c>
      <c r="G11" s="25">
        <v>1</v>
      </c>
      <c r="H11" s="21">
        <v>4</v>
      </c>
      <c r="I11" s="26"/>
      <c r="J11" s="41">
        <v>0</v>
      </c>
      <c r="K11" s="42">
        <v>50</v>
      </c>
      <c r="L11" s="43"/>
      <c r="M11" s="45">
        <f>INDEX('2025 ORNAMENTALS - UNITS'!I:I,MATCH(Rebate_Lookup[[#This Row],[SKU CODE]],'2025 ORNAMENTALS - UNITS'!A:A,0))</f>
        <v>0</v>
      </c>
      <c r="N11"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1" s="45">
        <f>COUNTIF('2025 ORNAMENTALS - UNITS'!A:A,Rebate_Lookup[[#This Row],[SKU CODE]])</f>
        <v>1</v>
      </c>
      <c r="P11" t="b">
        <f>IFERROR(Rebate_Lookup[[#This Row],[Order Form Quantity]]&gt;=Rebate_Lookup[[#This Row],[MOQ_2]],0)</f>
        <v>0</v>
      </c>
      <c r="R11">
        <f>COUNTIF('2025 ORNAMENTALS - UNITS'!A:A,Rebate_Lookup[[#This Row],[SKU CODE]])</f>
        <v>1</v>
      </c>
    </row>
    <row r="12" spans="2:18" ht="15" thickTop="1" x14ac:dyDescent="0.35">
      <c r="B12" s="33" t="s">
        <v>136</v>
      </c>
      <c r="C12" s="93" t="s">
        <v>30</v>
      </c>
      <c r="D12" s="20" t="s">
        <v>137</v>
      </c>
      <c r="E12" s="20" t="s">
        <v>119</v>
      </c>
      <c r="F12" s="34">
        <v>2</v>
      </c>
      <c r="G12" s="25">
        <v>1</v>
      </c>
      <c r="H12" s="21">
        <v>4</v>
      </c>
      <c r="I12" s="26"/>
      <c r="J12" s="41">
        <v>0</v>
      </c>
      <c r="K12" s="42">
        <v>25</v>
      </c>
      <c r="L12" s="43"/>
      <c r="M12" s="45">
        <f>INDEX('2025 ORNAMENTALS - UNITS'!I:I,MATCH(Rebate_Lookup[[#This Row],[SKU CODE]],'2025 ORNAMENTALS - UNITS'!A:A,0))</f>
        <v>0</v>
      </c>
      <c r="N12"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2" s="45">
        <f>COUNTIF('2025 ORNAMENTALS - UNITS'!A:A,Rebate_Lookup[[#This Row],[SKU CODE]])</f>
        <v>1</v>
      </c>
      <c r="P12" t="b">
        <f>IFERROR(Rebate_Lookup[[#This Row],[Order Form Quantity]]&gt;=Rebate_Lookup[[#This Row],[MOQ_2]],0)</f>
        <v>0</v>
      </c>
      <c r="R12">
        <f>COUNTIF('2025 ORNAMENTALS - UNITS'!A:A,Rebate_Lookup[[#This Row],[SKU CODE]])</f>
        <v>1</v>
      </c>
    </row>
    <row r="13" spans="2:18" ht="15" thickTop="1" x14ac:dyDescent="0.35">
      <c r="B13" s="33">
        <v>11008457</v>
      </c>
      <c r="C13" s="93" t="s">
        <v>30</v>
      </c>
      <c r="D13" s="20" t="s">
        <v>56</v>
      </c>
      <c r="E13" s="20" t="s">
        <v>34</v>
      </c>
      <c r="F13" s="34">
        <v>2</v>
      </c>
      <c r="G13" s="25">
        <v>1</v>
      </c>
      <c r="H13" s="21">
        <v>4</v>
      </c>
      <c r="I13" s="26"/>
      <c r="J13" s="41">
        <v>0</v>
      </c>
      <c r="K13" s="42">
        <v>6</v>
      </c>
      <c r="L13" s="43"/>
      <c r="M13" s="45">
        <f>INDEX('2025 ORNAMENTALS - UNITS'!I:I,MATCH(Rebate_Lookup[[#This Row],[SKU CODE]],'2025 ORNAMENTALS - UNITS'!A:A,0))</f>
        <v>0</v>
      </c>
      <c r="N13" s="45">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3" s="45">
        <f>COUNTIF('2025 ORNAMENTALS - UNITS'!A:A,Rebate_Lookup[[#This Row],[SKU CODE]])</f>
        <v>1</v>
      </c>
      <c r="P13" t="b">
        <f>IFERROR(Rebate_Lookup[[#This Row],[Order Form Quantity]]&gt;=Rebate_Lookup[[#This Row],[MOQ_2]],0)</f>
        <v>0</v>
      </c>
      <c r="R13">
        <f>COUNTIF('2025 ORNAMENTALS - UNITS'!A:A,Rebate_Lookup[[#This Row],[SKU CODE]])</f>
        <v>1</v>
      </c>
    </row>
    <row r="14" spans="2:18" ht="15" thickTop="1" x14ac:dyDescent="0.35">
      <c r="B14" s="33"/>
      <c r="C14" s="93"/>
      <c r="D14" s="20"/>
      <c r="E14" s="20"/>
      <c r="F14" s="34"/>
      <c r="G14" s="25"/>
      <c r="H14" s="21"/>
      <c r="I14" s="26"/>
      <c r="J14" s="41"/>
      <c r="K14" s="42"/>
      <c r="L14" s="43"/>
      <c r="M14" s="45" t="e">
        <f>INDEX('2025 ORNAMENTALS - UNITS'!I:I,MATCH(Rebate_Lookup[[#This Row],[SKU CODE]],'2025 ORNAMENTALS - UNITS'!A:A,0))</f>
        <v>#N/A</v>
      </c>
      <c r="N14"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14" s="45">
        <f>COUNTIF('2025 ORNAMENTALS - UNITS'!A:A,Rebate_Lookup[[#This Row],[SKU CODE]])</f>
        <v>0</v>
      </c>
      <c r="P14">
        <f>IFERROR(Rebate_Lookup[[#This Row],[Order Form Quantity]]&gt;=Rebate_Lookup[[#This Row],[MOQ_2]],0)</f>
        <v>0</v>
      </c>
      <c r="R14">
        <f>COUNTIF('2025 ORNAMENTALS - UNITS'!A:A,Rebate_Lookup[[#This Row],[SKU CODE]])</f>
        <v>0</v>
      </c>
    </row>
    <row r="15" spans="2:18" ht="15" thickTop="1" x14ac:dyDescent="0.35">
      <c r="B15" s="33"/>
      <c r="C15" s="93"/>
      <c r="D15" s="20"/>
      <c r="E15" s="20"/>
      <c r="F15" s="34"/>
      <c r="G15" s="25"/>
      <c r="H15" s="21"/>
      <c r="I15" s="26"/>
      <c r="J15" s="41"/>
      <c r="K15" s="42"/>
      <c r="L15" s="43"/>
      <c r="M15" s="45" t="e">
        <f>INDEX('2025 ORNAMENTALS - UNITS'!I:I,MATCH(Rebate_Lookup[[#This Row],[SKU CODE]],'2025 ORNAMENTALS - UNITS'!A:A,0))</f>
        <v>#N/A</v>
      </c>
      <c r="N15"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15" s="45">
        <f>COUNTIF('2025 ORNAMENTALS - UNITS'!A:A,Rebate_Lookup[[#This Row],[SKU CODE]])</f>
        <v>0</v>
      </c>
      <c r="P15">
        <f>IFERROR(Rebate_Lookup[[#This Row],[Order Form Quantity]]&gt;=Rebate_Lookup[[#This Row],[MOQ_2]],0)</f>
        <v>0</v>
      </c>
      <c r="R15">
        <f>COUNTIF('2025 ORNAMENTALS - UNITS'!A:A,Rebate_Lookup[[#This Row],[SKU CODE]])</f>
        <v>0</v>
      </c>
    </row>
    <row r="16" spans="2:18" ht="15" thickTop="1" x14ac:dyDescent="0.35">
      <c r="B16" s="33"/>
      <c r="C16" s="93"/>
      <c r="D16" s="20"/>
      <c r="E16" s="20"/>
      <c r="F16" s="34"/>
      <c r="G16" s="25"/>
      <c r="H16" s="21"/>
      <c r="I16" s="26"/>
      <c r="J16" s="41"/>
      <c r="K16" s="42"/>
      <c r="L16" s="43"/>
      <c r="M16" s="45" t="e">
        <f>INDEX('2025 ORNAMENTALS - UNITS'!I:I,MATCH(Rebate_Lookup[[#This Row],[SKU CODE]],'2025 ORNAMENTALS - UNITS'!A:A,0))</f>
        <v>#N/A</v>
      </c>
      <c r="N16"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16" s="45">
        <f>COUNTIF('2025 ORNAMENTALS - UNITS'!A:A,Rebate_Lookup[[#This Row],[SKU CODE]])</f>
        <v>0</v>
      </c>
      <c r="P16">
        <f>IFERROR(Rebate_Lookup[[#This Row],[Order Form Quantity]]&gt;=Rebate_Lookup[[#This Row],[MOQ_2]],0)</f>
        <v>0</v>
      </c>
      <c r="R16">
        <f>COUNTIF('2025 ORNAMENTALS - UNITS'!A:A,Rebate_Lookup[[#This Row],[SKU CODE]])</f>
        <v>0</v>
      </c>
    </row>
    <row r="17" spans="2:18" ht="15" thickTop="1" x14ac:dyDescent="0.35">
      <c r="B17" s="33"/>
      <c r="C17" s="93"/>
      <c r="D17" s="20"/>
      <c r="E17" s="20"/>
      <c r="F17" s="34"/>
      <c r="G17" s="25"/>
      <c r="H17" s="21"/>
      <c r="I17" s="26"/>
      <c r="J17" s="41"/>
      <c r="K17" s="42"/>
      <c r="L17" s="43"/>
      <c r="M17" s="45" t="e">
        <f>INDEX('2025 ORNAMENTALS - UNITS'!I:I,MATCH(Rebate_Lookup[[#This Row],[SKU CODE]],'2025 ORNAMENTALS - UNITS'!A:A,0))</f>
        <v>#N/A</v>
      </c>
      <c r="N17"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17" s="45">
        <f>COUNTIF('2025 ORNAMENTALS - UNITS'!A:A,Rebate_Lookup[[#This Row],[SKU CODE]])</f>
        <v>0</v>
      </c>
      <c r="P17">
        <f>IFERROR(Rebate_Lookup[[#This Row],[Order Form Quantity]]&gt;=Rebate_Lookup[[#This Row],[MOQ_2]],0)</f>
        <v>0</v>
      </c>
      <c r="R17">
        <f>COUNTIF('2025 ORNAMENTALS - UNITS'!A:A,Rebate_Lookup[[#This Row],[SKU CODE]])</f>
        <v>0</v>
      </c>
    </row>
    <row r="18" spans="2:18" x14ac:dyDescent="0.35">
      <c r="B18" s="33"/>
      <c r="C18" s="93"/>
      <c r="D18" s="20"/>
      <c r="E18" s="20"/>
      <c r="F18" s="34"/>
      <c r="G18" s="25"/>
      <c r="H18" s="21"/>
      <c r="I18" s="26"/>
      <c r="J18" s="41"/>
      <c r="K18" s="42"/>
      <c r="L18" s="43"/>
      <c r="M18" s="45" t="e">
        <f>INDEX('2025 ORNAMENTALS - UNITS'!I:I,MATCH(Rebate_Lookup[[#This Row],[SKU CODE]],'2025 ORNAMENTALS - UNITS'!A:A,0))</f>
        <v>#N/A</v>
      </c>
      <c r="N18"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18" s="45">
        <f>COUNTIF('2025 ORNAMENTALS - UNITS'!A:A,Rebate_Lookup[[#This Row],[SKU CODE]])</f>
        <v>0</v>
      </c>
      <c r="P18">
        <f>IFERROR(Rebate_Lookup[[#This Row],[Order Form Quantity]]&gt;=Rebate_Lookup[[#This Row],[MOQ_2]],0)</f>
        <v>0</v>
      </c>
      <c r="R18">
        <f>COUNTIF('2025 ORNAMENTALS - UNITS'!A:A,Rebate_Lookup[[#This Row],[SKU CODE]])</f>
        <v>0</v>
      </c>
    </row>
    <row r="19" spans="2:18" x14ac:dyDescent="0.35">
      <c r="B19" s="33"/>
      <c r="C19" s="93"/>
      <c r="D19" s="20"/>
      <c r="E19" s="20"/>
      <c r="F19" s="34"/>
      <c r="G19" s="25"/>
      <c r="H19" s="21"/>
      <c r="I19" s="26"/>
      <c r="J19" s="41"/>
      <c r="K19" s="42"/>
      <c r="L19" s="43"/>
      <c r="M19" s="45" t="e">
        <f>INDEX('2025 ORNAMENTALS - UNITS'!I:I,MATCH(Rebate_Lookup[[#This Row],[SKU CODE]],'2025 ORNAMENTALS - UNITS'!A:A,0))</f>
        <v>#N/A</v>
      </c>
      <c r="N19"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19" s="45">
        <f>COUNTIF('2025 ORNAMENTALS - UNITS'!A:A,Rebate_Lookup[[#This Row],[SKU CODE]])</f>
        <v>0</v>
      </c>
      <c r="P19">
        <f>IFERROR(Rebate_Lookup[[#This Row],[Order Form Quantity]]&gt;=Rebate_Lookup[[#This Row],[MOQ_2]],0)</f>
        <v>0</v>
      </c>
      <c r="R19">
        <f>COUNTIF('2025 ORNAMENTALS - UNITS'!A:A,Rebate_Lookup[[#This Row],[SKU CODE]])</f>
        <v>0</v>
      </c>
    </row>
    <row r="20" spans="2:18" x14ac:dyDescent="0.35">
      <c r="B20" s="33"/>
      <c r="C20" s="93"/>
      <c r="D20" s="20"/>
      <c r="E20" s="20"/>
      <c r="F20" s="34"/>
      <c r="G20" s="25"/>
      <c r="H20" s="21"/>
      <c r="I20" s="26"/>
      <c r="J20" s="41"/>
      <c r="K20" s="42"/>
      <c r="L20" s="43"/>
      <c r="M20" s="45" t="e">
        <f>INDEX('2025 ORNAMENTALS - UNITS'!I:I,MATCH(Rebate_Lookup[[#This Row],[SKU CODE]],'2025 ORNAMENTALS - UNITS'!A:A,0))</f>
        <v>#N/A</v>
      </c>
      <c r="N20"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0" s="45">
        <f>COUNTIF('2025 ORNAMENTALS - UNITS'!A:A,Rebate_Lookup[[#This Row],[SKU CODE]])</f>
        <v>0</v>
      </c>
      <c r="P20">
        <f>IFERROR(Rebate_Lookup[[#This Row],[Order Form Quantity]]&gt;=Rebate_Lookup[[#This Row],[MOQ_2]],0)</f>
        <v>0</v>
      </c>
      <c r="R20">
        <f>COUNTIF('2025 ORNAMENTALS - UNITS'!A:A,Rebate_Lookup[[#This Row],[SKU CODE]])</f>
        <v>0</v>
      </c>
    </row>
    <row r="21" spans="2:18" x14ac:dyDescent="0.35">
      <c r="B21" s="33"/>
      <c r="C21" s="93"/>
      <c r="D21" s="20"/>
      <c r="E21" s="20"/>
      <c r="F21" s="34"/>
      <c r="G21" s="25"/>
      <c r="H21" s="21"/>
      <c r="I21" s="26"/>
      <c r="J21" s="41"/>
      <c r="K21" s="42"/>
      <c r="L21" s="43"/>
      <c r="M21" s="45" t="e">
        <f>INDEX('2025 ORNAMENTALS - UNITS'!I:I,MATCH(Rebate_Lookup[[#This Row],[SKU CODE]],'2025 ORNAMENTALS - UNITS'!A:A,0))</f>
        <v>#N/A</v>
      </c>
      <c r="N21"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1" s="45">
        <f>COUNTIF('2025 ORNAMENTALS - UNITS'!A:A,Rebate_Lookup[[#This Row],[SKU CODE]])</f>
        <v>0</v>
      </c>
      <c r="P21">
        <f>IFERROR(Rebate_Lookup[[#This Row],[Order Form Quantity]]&gt;=Rebate_Lookup[[#This Row],[MOQ_2]],0)</f>
        <v>0</v>
      </c>
      <c r="R21">
        <f>COUNTIF('2025 ORNAMENTALS - UNITS'!A:A,Rebate_Lookup[[#This Row],[SKU CODE]])</f>
        <v>0</v>
      </c>
    </row>
    <row r="22" spans="2:18" x14ac:dyDescent="0.35">
      <c r="B22" s="33"/>
      <c r="C22" s="93"/>
      <c r="D22" s="20"/>
      <c r="E22" s="20"/>
      <c r="F22" s="34"/>
      <c r="G22" s="25"/>
      <c r="H22" s="21"/>
      <c r="I22" s="26"/>
      <c r="J22" s="41"/>
      <c r="K22" s="42"/>
      <c r="L22" s="43"/>
      <c r="M22" s="45" t="e">
        <f>INDEX('2025 ORNAMENTALS - UNITS'!I:I,MATCH(Rebate_Lookup[[#This Row],[SKU CODE]],'2025 ORNAMENTALS - UNITS'!A:A,0))</f>
        <v>#N/A</v>
      </c>
      <c r="N22"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2" s="45">
        <f>COUNTIF('2025 ORNAMENTALS - UNITS'!A:A,Rebate_Lookup[[#This Row],[SKU CODE]])</f>
        <v>0</v>
      </c>
      <c r="P22">
        <f>IFERROR(Rebate_Lookup[[#This Row],[Order Form Quantity]]&gt;=Rebate_Lookup[[#This Row],[MOQ_2]],0)</f>
        <v>0</v>
      </c>
      <c r="R22">
        <f>COUNTIF('2025 ORNAMENTALS - UNITS'!A:A,Rebate_Lookup[[#This Row],[SKU CODE]])</f>
        <v>0</v>
      </c>
    </row>
    <row r="23" spans="2:18" x14ac:dyDescent="0.35">
      <c r="B23" s="33"/>
      <c r="C23" s="93"/>
      <c r="D23" s="20"/>
      <c r="E23" s="20"/>
      <c r="F23" s="34"/>
      <c r="G23" s="25"/>
      <c r="H23" s="21"/>
      <c r="I23" s="26"/>
      <c r="J23" s="41"/>
      <c r="K23" s="42"/>
      <c r="L23" s="43"/>
      <c r="M23" s="45" t="e">
        <f>INDEX('2025 ORNAMENTALS - UNITS'!I:I,MATCH(Rebate_Lookup[[#This Row],[SKU CODE]],'2025 ORNAMENTALS - UNITS'!A:A,0))</f>
        <v>#N/A</v>
      </c>
      <c r="N23"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3" s="45">
        <f>COUNTIF('2025 ORNAMENTALS - UNITS'!A:A,Rebate_Lookup[[#This Row],[SKU CODE]])</f>
        <v>0</v>
      </c>
      <c r="P23">
        <f>IFERROR(Rebate_Lookup[[#This Row],[Order Form Quantity]]&gt;=Rebate_Lookup[[#This Row],[MOQ_2]],0)</f>
        <v>0</v>
      </c>
      <c r="R23">
        <f>COUNTIF('2025 ORNAMENTALS - UNITS'!A:A,Rebate_Lookup[[#This Row],[SKU CODE]])</f>
        <v>0</v>
      </c>
    </row>
    <row r="24" spans="2:18" x14ac:dyDescent="0.35">
      <c r="B24" s="33"/>
      <c r="C24" s="93"/>
      <c r="D24" s="20"/>
      <c r="E24" s="20"/>
      <c r="F24" s="34"/>
      <c r="G24" s="25"/>
      <c r="H24" s="21"/>
      <c r="I24" s="26"/>
      <c r="J24" s="41"/>
      <c r="K24" s="42"/>
      <c r="L24" s="43"/>
      <c r="M24" s="45" t="e">
        <f>INDEX('2025 ORNAMENTALS - UNITS'!I:I,MATCH(Rebate_Lookup[[#This Row],[SKU CODE]],'2025 ORNAMENTALS - UNITS'!A:A,0))</f>
        <v>#N/A</v>
      </c>
      <c r="N24"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4" s="45">
        <f>COUNTIF('2025 ORNAMENTALS - UNITS'!A:A,Rebate_Lookup[[#This Row],[SKU CODE]])</f>
        <v>0</v>
      </c>
      <c r="P24">
        <f>IFERROR(Rebate_Lookup[[#This Row],[Order Form Quantity]]&gt;=Rebate_Lookup[[#This Row],[MOQ_2]],0)</f>
        <v>0</v>
      </c>
      <c r="R24">
        <f>COUNTIF('2025 ORNAMENTALS - UNITS'!A:A,Rebate_Lookup[[#This Row],[SKU CODE]])</f>
        <v>0</v>
      </c>
    </row>
    <row r="25" spans="2:18" x14ac:dyDescent="0.35">
      <c r="B25" s="33"/>
      <c r="C25" s="93"/>
      <c r="D25" s="20"/>
      <c r="E25" s="20"/>
      <c r="F25" s="34"/>
      <c r="G25" s="25"/>
      <c r="H25" s="21"/>
      <c r="I25" s="26"/>
      <c r="J25" s="41"/>
      <c r="K25" s="42"/>
      <c r="L25" s="43"/>
      <c r="M25" s="45" t="e">
        <f>INDEX('2025 ORNAMENTALS - UNITS'!I:I,MATCH(Rebate_Lookup[[#This Row],[SKU CODE]],'2025 ORNAMENTALS - UNITS'!A:A,0))</f>
        <v>#N/A</v>
      </c>
      <c r="N25"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5" s="45">
        <f>COUNTIF('2025 ORNAMENTALS - UNITS'!A:A,Rebate_Lookup[[#This Row],[SKU CODE]])</f>
        <v>0</v>
      </c>
      <c r="P25">
        <f>IFERROR(Rebate_Lookup[[#This Row],[Order Form Quantity]]&gt;=Rebate_Lookup[[#This Row],[MOQ_2]],0)</f>
        <v>0</v>
      </c>
      <c r="R25">
        <f>COUNTIF('2025 ORNAMENTALS - UNITS'!A:A,Rebate_Lookup[[#This Row],[SKU CODE]])</f>
        <v>0</v>
      </c>
    </row>
    <row r="26" spans="2:18" x14ac:dyDescent="0.35">
      <c r="B26" s="33"/>
      <c r="C26" s="93"/>
      <c r="D26" s="20"/>
      <c r="E26" s="20"/>
      <c r="F26" s="34"/>
      <c r="G26" s="25"/>
      <c r="H26" s="21"/>
      <c r="I26" s="26"/>
      <c r="J26" s="41"/>
      <c r="K26" s="42"/>
      <c r="L26" s="43"/>
      <c r="M26" s="45" t="e">
        <f>INDEX('2025 ORNAMENTALS - UNITS'!I:I,MATCH(Rebate_Lookup[[#This Row],[SKU CODE]],'2025 ORNAMENTALS - UNITS'!A:A,0))</f>
        <v>#N/A</v>
      </c>
      <c r="N26"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6" s="45">
        <f>COUNTIF('2025 ORNAMENTALS - UNITS'!A:A,Rebate_Lookup[[#This Row],[SKU CODE]])</f>
        <v>0</v>
      </c>
      <c r="P26">
        <f>IFERROR(Rebate_Lookup[[#This Row],[Order Form Quantity]]&gt;=Rebate_Lookup[[#This Row],[MOQ_2]],0)</f>
        <v>0</v>
      </c>
      <c r="R26">
        <f>COUNTIF('2025 ORNAMENTALS - UNITS'!A:A,Rebate_Lookup[[#This Row],[SKU CODE]])</f>
        <v>0</v>
      </c>
    </row>
    <row r="27" spans="2:18" x14ac:dyDescent="0.35">
      <c r="B27" s="33"/>
      <c r="C27" s="93"/>
      <c r="D27" s="20"/>
      <c r="E27" s="20"/>
      <c r="F27" s="34"/>
      <c r="G27" s="25"/>
      <c r="H27" s="21"/>
      <c r="I27" s="26"/>
      <c r="J27" s="41"/>
      <c r="K27" s="42"/>
      <c r="L27" s="43"/>
      <c r="M27" s="45" t="e">
        <f>INDEX('2025 ORNAMENTALS - UNITS'!I:I,MATCH(Rebate_Lookup[[#This Row],[SKU CODE]],'2025 ORNAMENTALS - UNITS'!A:A,0))</f>
        <v>#N/A</v>
      </c>
      <c r="N27"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7" s="45">
        <f>COUNTIF('2025 ORNAMENTALS - UNITS'!A:A,Rebate_Lookup[[#This Row],[SKU CODE]])</f>
        <v>0</v>
      </c>
      <c r="P27">
        <f>IFERROR(Rebate_Lookup[[#This Row],[Order Form Quantity]]&gt;=Rebate_Lookup[[#This Row],[MOQ_2]],0)</f>
        <v>0</v>
      </c>
      <c r="R27">
        <f>COUNTIF('2025 ORNAMENTALS - UNITS'!A:A,Rebate_Lookup[[#This Row],[SKU CODE]])</f>
        <v>0</v>
      </c>
    </row>
    <row r="28" spans="2:18" x14ac:dyDescent="0.35">
      <c r="B28" s="33"/>
      <c r="C28" s="93"/>
      <c r="D28" s="20"/>
      <c r="E28" s="20"/>
      <c r="F28" s="34"/>
      <c r="G28" s="25"/>
      <c r="H28" s="21"/>
      <c r="I28" s="26"/>
      <c r="J28" s="41"/>
      <c r="K28" s="42"/>
      <c r="L28" s="43"/>
      <c r="M28" s="45" t="e">
        <f>INDEX('2025 ORNAMENTALS - UNITS'!I:I,MATCH(Rebate_Lookup[[#This Row],[SKU CODE]],'2025 ORNAMENTALS - UNITS'!A:A,0))</f>
        <v>#N/A</v>
      </c>
      <c r="N28"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8" s="45">
        <f>COUNTIF('2025 ORNAMENTALS - UNITS'!A:A,Rebate_Lookup[[#This Row],[SKU CODE]])</f>
        <v>0</v>
      </c>
      <c r="P28">
        <f>IFERROR(Rebate_Lookup[[#This Row],[Order Form Quantity]]&gt;=Rebate_Lookup[[#This Row],[MOQ_2]],0)</f>
        <v>0</v>
      </c>
      <c r="R28">
        <f>COUNTIF('2025 ORNAMENTALS - UNITS'!A:A,Rebate_Lookup[[#This Row],[SKU CODE]])</f>
        <v>0</v>
      </c>
    </row>
    <row r="29" spans="2:18" x14ac:dyDescent="0.35">
      <c r="B29" s="33"/>
      <c r="C29" s="93"/>
      <c r="D29" s="20"/>
      <c r="E29" s="20"/>
      <c r="F29" s="34"/>
      <c r="G29" s="25"/>
      <c r="H29" s="21"/>
      <c r="I29" s="26"/>
      <c r="J29" s="41"/>
      <c r="K29" s="42"/>
      <c r="L29" s="43"/>
      <c r="M29" s="45" t="e">
        <f>INDEX('2025 ORNAMENTALS - UNITS'!I:I,MATCH(Rebate_Lookup[[#This Row],[SKU CODE]],'2025 ORNAMENTALS - UNITS'!A:A,0))</f>
        <v>#N/A</v>
      </c>
      <c r="N29"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29" s="45">
        <f>COUNTIF('2025 ORNAMENTALS - UNITS'!A:A,Rebate_Lookup[[#This Row],[SKU CODE]])</f>
        <v>0</v>
      </c>
      <c r="P29">
        <f>IFERROR(Rebate_Lookup[[#This Row],[Order Form Quantity]]&gt;=Rebate_Lookup[[#This Row],[MOQ_2]],0)</f>
        <v>0</v>
      </c>
      <c r="R29">
        <f>COUNTIF('2025 ORNAMENTALS - UNITS'!A:A,Rebate_Lookup[[#This Row],[SKU CODE]])</f>
        <v>0</v>
      </c>
    </row>
    <row r="30" spans="2:18" x14ac:dyDescent="0.35">
      <c r="B30" s="33"/>
      <c r="C30" s="93"/>
      <c r="D30" s="20"/>
      <c r="E30" s="20"/>
      <c r="F30" s="34"/>
      <c r="G30" s="25"/>
      <c r="H30" s="21"/>
      <c r="I30" s="26"/>
      <c r="J30" s="41"/>
      <c r="K30" s="42"/>
      <c r="L30" s="43"/>
      <c r="M30" s="45" t="e">
        <f>INDEX('2025 ORNAMENTALS - UNITS'!I:I,MATCH(Rebate_Lookup[[#This Row],[SKU CODE]],'2025 ORNAMENTALS - UNITS'!A:A,0))</f>
        <v>#N/A</v>
      </c>
      <c r="N30"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0" s="45">
        <f>COUNTIF('2025 ORNAMENTALS - UNITS'!A:A,Rebate_Lookup[[#This Row],[SKU CODE]])</f>
        <v>0</v>
      </c>
      <c r="P30">
        <f>IFERROR(Rebate_Lookup[[#This Row],[Order Form Quantity]]&gt;=Rebate_Lookup[[#This Row],[MOQ_2]],0)</f>
        <v>0</v>
      </c>
      <c r="R30">
        <f>COUNTIF('2025 ORNAMENTALS - UNITS'!A:A,Rebate_Lookup[[#This Row],[SKU CODE]])</f>
        <v>0</v>
      </c>
    </row>
    <row r="31" spans="2:18" x14ac:dyDescent="0.35">
      <c r="B31" s="33"/>
      <c r="C31" s="93"/>
      <c r="D31" s="20"/>
      <c r="E31" s="20"/>
      <c r="F31" s="34"/>
      <c r="G31" s="25"/>
      <c r="H31" s="21"/>
      <c r="I31" s="26"/>
      <c r="J31" s="41"/>
      <c r="K31" s="42"/>
      <c r="L31" s="43"/>
      <c r="M31" s="45" t="e">
        <f>INDEX('2025 ORNAMENTALS - UNITS'!I:I,MATCH(Rebate_Lookup[[#This Row],[SKU CODE]],'2025 ORNAMENTALS - UNITS'!A:A,0))</f>
        <v>#N/A</v>
      </c>
      <c r="N31"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1" s="45">
        <f>COUNTIF('2025 ORNAMENTALS - UNITS'!A:A,Rebate_Lookup[[#This Row],[SKU CODE]])</f>
        <v>0</v>
      </c>
      <c r="P31">
        <f>IFERROR(Rebate_Lookup[[#This Row],[Order Form Quantity]]&gt;=Rebate_Lookup[[#This Row],[MOQ_2]],0)</f>
        <v>0</v>
      </c>
      <c r="R31">
        <f>COUNTIF('2025 ORNAMENTALS - UNITS'!A:A,Rebate_Lookup[[#This Row],[SKU CODE]])</f>
        <v>0</v>
      </c>
    </row>
    <row r="32" spans="2:18" x14ac:dyDescent="0.35">
      <c r="B32" s="33"/>
      <c r="C32" s="93"/>
      <c r="D32" s="20"/>
      <c r="E32" s="20"/>
      <c r="F32" s="34"/>
      <c r="G32" s="25"/>
      <c r="H32" s="21"/>
      <c r="I32" s="26"/>
      <c r="J32" s="41"/>
      <c r="K32" s="42"/>
      <c r="L32" s="43"/>
      <c r="M32" s="45" t="e">
        <f>INDEX('2025 ORNAMENTALS - UNITS'!I:I,MATCH(Rebate_Lookup[[#This Row],[SKU CODE]],'2025 ORNAMENTALS - UNITS'!A:A,0))</f>
        <v>#N/A</v>
      </c>
      <c r="N32"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2" s="45">
        <f>COUNTIF('2025 ORNAMENTALS - UNITS'!A:A,Rebate_Lookup[[#This Row],[SKU CODE]])</f>
        <v>0</v>
      </c>
      <c r="P32">
        <f>IFERROR(Rebate_Lookup[[#This Row],[Order Form Quantity]]&gt;=Rebate_Lookup[[#This Row],[MOQ_2]],0)</f>
        <v>0</v>
      </c>
      <c r="R32">
        <f>COUNTIF('2025 ORNAMENTALS - UNITS'!A:A,Rebate_Lookup[[#This Row],[SKU CODE]])</f>
        <v>0</v>
      </c>
    </row>
    <row r="33" spans="2:18" x14ac:dyDescent="0.35">
      <c r="B33" s="33"/>
      <c r="C33" s="93"/>
      <c r="D33" s="20"/>
      <c r="E33" s="20"/>
      <c r="F33" s="34"/>
      <c r="G33" s="25"/>
      <c r="H33" s="21"/>
      <c r="I33" s="26"/>
      <c r="J33" s="41"/>
      <c r="K33" s="42"/>
      <c r="L33" s="43"/>
      <c r="M33" s="45" t="e">
        <f>INDEX('2025 ORNAMENTALS - UNITS'!I:I,MATCH(Rebate_Lookup[[#This Row],[SKU CODE]],'2025 ORNAMENTALS - UNITS'!A:A,0))</f>
        <v>#N/A</v>
      </c>
      <c r="N33"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3" s="45">
        <f>COUNTIF('2025 ORNAMENTALS - UNITS'!A:A,Rebate_Lookup[[#This Row],[SKU CODE]])</f>
        <v>0</v>
      </c>
      <c r="P33">
        <f>IFERROR(Rebate_Lookup[[#This Row],[Order Form Quantity]]&gt;=Rebate_Lookup[[#This Row],[MOQ_2]],0)</f>
        <v>0</v>
      </c>
      <c r="R33">
        <f>COUNTIF('2025 ORNAMENTALS - UNITS'!A:A,Rebate_Lookup[[#This Row],[SKU CODE]])</f>
        <v>0</v>
      </c>
    </row>
    <row r="34" spans="2:18" x14ac:dyDescent="0.35">
      <c r="B34" s="33"/>
      <c r="C34" s="93"/>
      <c r="D34" s="20"/>
      <c r="E34" s="20"/>
      <c r="F34" s="34"/>
      <c r="G34" s="25"/>
      <c r="H34" s="21"/>
      <c r="I34" s="26"/>
      <c r="J34" s="41"/>
      <c r="K34" s="42"/>
      <c r="L34" s="43"/>
      <c r="M34" s="45" t="e">
        <f>INDEX('2025 ORNAMENTALS - UNITS'!I:I,MATCH(Rebate_Lookup[[#This Row],[SKU CODE]],'2025 ORNAMENTALS - UNITS'!A:A,0))</f>
        <v>#N/A</v>
      </c>
      <c r="N34"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4" s="45">
        <f>COUNTIF('2025 ORNAMENTALS - UNITS'!A:A,Rebate_Lookup[[#This Row],[SKU CODE]])</f>
        <v>0</v>
      </c>
      <c r="P34">
        <f>IFERROR(Rebate_Lookup[[#This Row],[Order Form Quantity]]&gt;=Rebate_Lookup[[#This Row],[MOQ_2]],0)</f>
        <v>0</v>
      </c>
      <c r="R34">
        <f>COUNTIF('2025 ORNAMENTALS - UNITS'!A:A,Rebate_Lookup[[#This Row],[SKU CODE]])</f>
        <v>0</v>
      </c>
    </row>
    <row r="35" spans="2:18" x14ac:dyDescent="0.35">
      <c r="B35" s="33"/>
      <c r="C35" s="93"/>
      <c r="D35" s="20"/>
      <c r="E35" s="20"/>
      <c r="F35" s="34"/>
      <c r="G35" s="25"/>
      <c r="H35" s="21"/>
      <c r="I35" s="26"/>
      <c r="J35" s="41"/>
      <c r="K35" s="42"/>
      <c r="L35" s="43"/>
      <c r="M35" s="45" t="e">
        <f>INDEX('2025 ORNAMENTALS - UNITS'!I:I,MATCH(Rebate_Lookup[[#This Row],[SKU CODE]],'2025 ORNAMENTALS - UNITS'!A:A,0))</f>
        <v>#N/A</v>
      </c>
      <c r="N35"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5" s="45">
        <f>COUNTIF('2025 ORNAMENTALS - UNITS'!A:A,Rebate_Lookup[[#This Row],[SKU CODE]])</f>
        <v>0</v>
      </c>
      <c r="P35">
        <f>IFERROR(Rebate_Lookup[[#This Row],[Order Form Quantity]]&gt;=Rebate_Lookup[[#This Row],[MOQ_2]],0)</f>
        <v>0</v>
      </c>
      <c r="R35">
        <f>COUNTIF('2025 ORNAMENTALS - UNITS'!A:A,Rebate_Lookup[[#This Row],[SKU CODE]])</f>
        <v>0</v>
      </c>
    </row>
    <row r="36" spans="2:18" x14ac:dyDescent="0.35">
      <c r="B36" s="33"/>
      <c r="C36" s="93"/>
      <c r="D36" s="20"/>
      <c r="E36" s="20"/>
      <c r="F36" s="34"/>
      <c r="G36" s="25"/>
      <c r="H36" s="21"/>
      <c r="I36" s="26"/>
      <c r="J36" s="41"/>
      <c r="K36" s="42"/>
      <c r="L36" s="43"/>
      <c r="M36" s="45" t="e">
        <f>INDEX('2025 ORNAMENTALS - UNITS'!I:I,MATCH(Rebate_Lookup[[#This Row],[SKU CODE]],'2025 ORNAMENTALS - UNITS'!A:A,0))</f>
        <v>#N/A</v>
      </c>
      <c r="N36"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6" s="45">
        <f>COUNTIF('2025 ORNAMENTALS - UNITS'!A:A,Rebate_Lookup[[#This Row],[SKU CODE]])</f>
        <v>0</v>
      </c>
      <c r="P36">
        <f>IFERROR(Rebate_Lookup[[#This Row],[Order Form Quantity]]&gt;=Rebate_Lookup[[#This Row],[MOQ_2]],0)</f>
        <v>0</v>
      </c>
      <c r="R36">
        <f>COUNTIF('2025 ORNAMENTALS - UNITS'!A:A,Rebate_Lookup[[#This Row],[SKU CODE]])</f>
        <v>0</v>
      </c>
    </row>
    <row r="37" spans="2:18" x14ac:dyDescent="0.35">
      <c r="B37" s="33"/>
      <c r="C37" s="93"/>
      <c r="D37" s="20"/>
      <c r="E37" s="20"/>
      <c r="F37" s="34"/>
      <c r="G37" s="25"/>
      <c r="H37" s="21"/>
      <c r="I37" s="26"/>
      <c r="J37" s="41"/>
      <c r="K37" s="42"/>
      <c r="L37" s="43"/>
      <c r="M37" s="45" t="e">
        <f>INDEX('2025 ORNAMENTALS - UNITS'!I:I,MATCH(Rebate_Lookup[[#This Row],[SKU CODE]],'2025 ORNAMENTALS - UNITS'!A:A,0))</f>
        <v>#N/A</v>
      </c>
      <c r="N37"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7" s="45">
        <f>COUNTIF('2025 ORNAMENTALS - UNITS'!A:A,Rebate_Lookup[[#This Row],[SKU CODE]])</f>
        <v>0</v>
      </c>
      <c r="P37">
        <f>IFERROR(Rebate_Lookup[[#This Row],[Order Form Quantity]]&gt;=Rebate_Lookup[[#This Row],[MOQ_2]],0)</f>
        <v>0</v>
      </c>
      <c r="R37">
        <f>COUNTIF('2025 ORNAMENTALS - UNITS'!A:A,Rebate_Lookup[[#This Row],[SKU CODE]])</f>
        <v>0</v>
      </c>
    </row>
    <row r="38" spans="2:18" x14ac:dyDescent="0.35">
      <c r="B38" s="33"/>
      <c r="C38" s="93"/>
      <c r="D38" s="20"/>
      <c r="E38" s="20"/>
      <c r="F38" s="34"/>
      <c r="G38" s="25"/>
      <c r="H38" s="21"/>
      <c r="I38" s="26"/>
      <c r="J38" s="41"/>
      <c r="K38" s="42"/>
      <c r="L38" s="43"/>
      <c r="M38" s="45" t="e">
        <f>INDEX('2025 ORNAMENTALS - UNITS'!I:I,MATCH(Rebate_Lookup[[#This Row],[SKU CODE]],'2025 ORNAMENTALS - UNITS'!A:A,0))</f>
        <v>#N/A</v>
      </c>
      <c r="N38"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8" s="45">
        <f>COUNTIF('2025 ORNAMENTALS - UNITS'!A:A,Rebate_Lookup[[#This Row],[SKU CODE]])</f>
        <v>0</v>
      </c>
      <c r="P38">
        <f>IFERROR(Rebate_Lookup[[#This Row],[Order Form Quantity]]&gt;=Rebate_Lookup[[#This Row],[MOQ_2]],0)</f>
        <v>0</v>
      </c>
      <c r="R38">
        <f>COUNTIF('2025 ORNAMENTALS - UNITS'!A:A,Rebate_Lookup[[#This Row],[SKU CODE]])</f>
        <v>0</v>
      </c>
    </row>
    <row r="39" spans="2:18" x14ac:dyDescent="0.35">
      <c r="B39" s="33"/>
      <c r="C39" s="93"/>
      <c r="D39" s="20"/>
      <c r="E39" s="20"/>
      <c r="F39" s="34"/>
      <c r="G39" s="25"/>
      <c r="H39" s="21"/>
      <c r="I39" s="26"/>
      <c r="J39" s="41"/>
      <c r="K39" s="42"/>
      <c r="L39" s="43"/>
      <c r="M39" s="45" t="e">
        <f>INDEX('2025 ORNAMENTALS - UNITS'!I:I,MATCH(Rebate_Lookup[[#This Row],[SKU CODE]],'2025 ORNAMENTALS - UNITS'!A:A,0))</f>
        <v>#N/A</v>
      </c>
      <c r="N39"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39" s="45">
        <f>COUNTIF('2025 ORNAMENTALS - UNITS'!A:A,Rebate_Lookup[[#This Row],[SKU CODE]])</f>
        <v>0</v>
      </c>
      <c r="P39">
        <f>IFERROR(Rebate_Lookup[[#This Row],[Order Form Quantity]]&gt;=Rebate_Lookup[[#This Row],[MOQ_2]],0)</f>
        <v>0</v>
      </c>
      <c r="R39">
        <f>COUNTIF('2025 ORNAMENTALS - UNITS'!A:A,Rebate_Lookup[[#This Row],[SKU CODE]])</f>
        <v>0</v>
      </c>
    </row>
    <row r="40" spans="2:18" x14ac:dyDescent="0.35">
      <c r="B40" s="33"/>
      <c r="C40" s="93"/>
      <c r="D40" s="20"/>
      <c r="E40" s="20"/>
      <c r="F40" s="34"/>
      <c r="G40" s="25"/>
      <c r="H40" s="21"/>
      <c r="I40" s="26"/>
      <c r="J40" s="41"/>
      <c r="K40" s="42"/>
      <c r="L40" s="43"/>
      <c r="M40" s="45" t="e">
        <f>INDEX('2025 ORNAMENTALS - UNITS'!I:I,MATCH(Rebate_Lookup[[#This Row],[SKU CODE]],'2025 ORNAMENTALS - UNITS'!A:A,0))</f>
        <v>#N/A</v>
      </c>
      <c r="N40"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40" s="45">
        <f>COUNTIF('2025 ORNAMENTALS - UNITS'!A:A,Rebate_Lookup[[#This Row],[SKU CODE]])</f>
        <v>0</v>
      </c>
      <c r="P40">
        <f>IFERROR(Rebate_Lookup[[#This Row],[Order Form Quantity]]&gt;=Rebate_Lookup[[#This Row],[MOQ_2]],0)</f>
        <v>0</v>
      </c>
      <c r="R40">
        <f>COUNTIF('2025 ORNAMENTALS - UNITS'!A:A,Rebate_Lookup[[#This Row],[SKU CODE]])</f>
        <v>0</v>
      </c>
    </row>
    <row r="41" spans="2:18" x14ac:dyDescent="0.35">
      <c r="B41" s="33"/>
      <c r="C41" s="93"/>
      <c r="D41" s="20"/>
      <c r="E41" s="20"/>
      <c r="F41" s="34"/>
      <c r="G41" s="25"/>
      <c r="H41" s="21"/>
      <c r="I41" s="26"/>
      <c r="J41" s="41"/>
      <c r="K41" s="42"/>
      <c r="L41" s="43"/>
      <c r="M41" s="45" t="e">
        <f>INDEX('2025 ORNAMENTALS - UNITS'!I:I,MATCH(Rebate_Lookup[[#This Row],[SKU CODE]],'2025 ORNAMENTALS - UNITS'!A:A,0))</f>
        <v>#N/A</v>
      </c>
      <c r="N41"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41" s="45">
        <f>COUNTIF('2025 ORNAMENTALS - UNITS'!A:A,Rebate_Lookup[[#This Row],[SKU CODE]])</f>
        <v>0</v>
      </c>
      <c r="P41">
        <f>IFERROR(Rebate_Lookup[[#This Row],[Order Form Quantity]]&gt;=Rebate_Lookup[[#This Row],[MOQ_2]],0)</f>
        <v>0</v>
      </c>
      <c r="R41">
        <f>COUNTIF('2025 ORNAMENTALS - UNITS'!A:A,Rebate_Lookup[[#This Row],[SKU CODE]])</f>
        <v>0</v>
      </c>
    </row>
    <row r="42" spans="2:18" x14ac:dyDescent="0.35">
      <c r="B42" s="33"/>
      <c r="C42" s="93"/>
      <c r="D42" s="20"/>
      <c r="E42" s="20"/>
      <c r="F42" s="34"/>
      <c r="G42" s="25"/>
      <c r="H42" s="21"/>
      <c r="I42" s="26"/>
      <c r="J42" s="41"/>
      <c r="K42" s="42"/>
      <c r="L42" s="43"/>
      <c r="M42" s="45" t="e">
        <f>INDEX('2025 ORNAMENTALS - UNITS'!I:I,MATCH(Rebate_Lookup[[#This Row],[SKU CODE]],'2025 ORNAMENTALS - UNITS'!A:A,0))</f>
        <v>#N/A</v>
      </c>
      <c r="N42"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42" s="45">
        <f>COUNTIF('2025 ORNAMENTALS - UNITS'!A:A,Rebate_Lookup[[#This Row],[SKU CODE]])</f>
        <v>0</v>
      </c>
      <c r="P42">
        <f>IFERROR(Rebate_Lookup[[#This Row],[Order Form Quantity]]&gt;=Rebate_Lookup[[#This Row],[MOQ_2]],0)</f>
        <v>0</v>
      </c>
      <c r="R42">
        <f>COUNTIF('2025 ORNAMENTALS - UNITS'!A:A,Rebate_Lookup[[#This Row],[SKU CODE]])</f>
        <v>0</v>
      </c>
    </row>
    <row r="43" spans="2:18" x14ac:dyDescent="0.35">
      <c r="B43" s="33"/>
      <c r="C43" s="93"/>
      <c r="D43" s="20"/>
      <c r="E43" s="20"/>
      <c r="F43" s="34"/>
      <c r="G43" s="25"/>
      <c r="H43" s="21"/>
      <c r="I43" s="26"/>
      <c r="J43" s="41"/>
      <c r="K43" s="42"/>
      <c r="L43" s="43"/>
      <c r="M43" s="45" t="e">
        <f>INDEX('2025 ORNAMENTALS - UNITS'!I:I,MATCH(Rebate_Lookup[[#This Row],[SKU CODE]],'2025 ORNAMENTALS - UNITS'!A:A,0))</f>
        <v>#N/A</v>
      </c>
      <c r="N43"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43" s="45">
        <f>COUNTIF('2025 ORNAMENTALS - UNITS'!A:A,Rebate_Lookup[[#This Row],[SKU CODE]])</f>
        <v>0</v>
      </c>
      <c r="P43">
        <f>IFERROR(Rebate_Lookup[[#This Row],[Order Form Quantity]]&gt;=Rebate_Lookup[[#This Row],[MOQ_2]],0)</f>
        <v>0</v>
      </c>
      <c r="R43">
        <f>COUNTIF('2025 ORNAMENTALS - UNITS'!A:A,Rebate_Lookup[[#This Row],[SKU CODE]])</f>
        <v>0</v>
      </c>
    </row>
    <row r="44" spans="2:18" x14ac:dyDescent="0.35">
      <c r="B44" s="33"/>
      <c r="C44" s="93"/>
      <c r="D44" s="20"/>
      <c r="E44" s="20"/>
      <c r="F44" s="34"/>
      <c r="G44" s="25"/>
      <c r="H44" s="21"/>
      <c r="I44" s="26"/>
      <c r="J44" s="41"/>
      <c r="K44" s="42"/>
      <c r="L44" s="43"/>
      <c r="M44" s="45" t="e">
        <f>INDEX('2025 ORNAMENTALS - UNITS'!I:I,MATCH(Rebate_Lookup[[#This Row],[SKU CODE]],'2025 ORNAMENTALS - UNITS'!A:A,0))</f>
        <v>#N/A</v>
      </c>
      <c r="N44"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44" s="45">
        <f>COUNTIF('2025 ORNAMENTALS - UNITS'!A:A,Rebate_Lookup[[#This Row],[SKU CODE]])</f>
        <v>0</v>
      </c>
      <c r="P44">
        <f>IFERROR(Rebate_Lookup[[#This Row],[Order Form Quantity]]&gt;=Rebate_Lookup[[#This Row],[MOQ_2]],0)</f>
        <v>0</v>
      </c>
      <c r="R44">
        <f>COUNTIF('2025 ORNAMENTALS - UNITS'!A:A,Rebate_Lookup[[#This Row],[SKU CODE]])</f>
        <v>0</v>
      </c>
    </row>
    <row r="45" spans="2:18" x14ac:dyDescent="0.35">
      <c r="B45" s="33"/>
      <c r="C45" s="93"/>
      <c r="D45" s="20"/>
      <c r="E45" s="20"/>
      <c r="F45" s="34"/>
      <c r="G45" s="25"/>
      <c r="H45" s="21"/>
      <c r="I45" s="26"/>
      <c r="J45" s="41"/>
      <c r="K45" s="42"/>
      <c r="L45" s="43"/>
      <c r="M45" s="45" t="e">
        <f>INDEX('2025 ORNAMENTALS - UNITS'!I:I,MATCH(Rebate_Lookup[[#This Row],[SKU CODE]],'2025 ORNAMENTALS - UNITS'!A:A,0))</f>
        <v>#N/A</v>
      </c>
      <c r="N45"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45" s="45">
        <f>COUNTIF('2025 ORNAMENTALS - UNITS'!A:A,Rebate_Lookup[[#This Row],[SKU CODE]])</f>
        <v>0</v>
      </c>
      <c r="P45">
        <f>IFERROR(Rebate_Lookup[[#This Row],[Order Form Quantity]]&gt;=Rebate_Lookup[[#This Row],[MOQ_2]],0)</f>
        <v>0</v>
      </c>
      <c r="R45">
        <f>COUNTIF('2025 ORNAMENTALS - UNITS'!A:A,Rebate_Lookup[[#This Row],[SKU CODE]])</f>
        <v>0</v>
      </c>
    </row>
    <row r="46" spans="2:18" x14ac:dyDescent="0.35">
      <c r="B46" s="33"/>
      <c r="C46" s="93"/>
      <c r="D46" s="20"/>
      <c r="E46" s="20"/>
      <c r="F46" s="34"/>
      <c r="G46" s="25"/>
      <c r="H46" s="21"/>
      <c r="I46" s="26"/>
      <c r="J46" s="41"/>
      <c r="K46" s="42"/>
      <c r="L46" s="43"/>
      <c r="M46" s="45" t="e">
        <f>INDEX('2025 ORNAMENTALS - UNITS'!I:I,MATCH(Rebate_Lookup[[#This Row],[SKU CODE]],'2025 ORNAMENTALS - UNITS'!A:A,0))</f>
        <v>#N/A</v>
      </c>
      <c r="N46" s="45" t="e">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#N/A</v>
      </c>
      <c r="O46" s="45">
        <f>COUNTIF('2025 ORNAMENTALS - UNITS'!A:A,Rebate_Lookup[[#This Row],[SKU CODE]])</f>
        <v>0</v>
      </c>
      <c r="P46">
        <f>IFERROR(Rebate_Lookup[[#This Row],[Order Form Quantity]]&gt;=Rebate_Lookup[[#This Row],[MOQ_2]],0)</f>
        <v>0</v>
      </c>
      <c r="R46">
        <f>COUNTIF('2025 ORNAMENTALS - UNITS'!A:A,Rebate_Lookup[[#This Row],[SKU CODE]])</f>
        <v>0</v>
      </c>
    </row>
    <row r="47" spans="2:18" x14ac:dyDescent="0.35">
      <c r="B47"/>
      <c r="C47"/>
    </row>
    <row r="48" spans="2:18" x14ac:dyDescent="0.35">
      <c r="B48"/>
      <c r="C48"/>
    </row>
    <row r="49" spans="2:3" x14ac:dyDescent="0.35">
      <c r="B49"/>
      <c r="C49"/>
    </row>
    <row r="50" spans="2:3" x14ac:dyDescent="0.35">
      <c r="B50"/>
      <c r="C50"/>
    </row>
    <row r="51" spans="2:3" x14ac:dyDescent="0.35">
      <c r="B51"/>
      <c r="C51"/>
    </row>
    <row r="52" spans="2:3" x14ac:dyDescent="0.35">
      <c r="B52"/>
      <c r="C52"/>
    </row>
    <row r="53" spans="2:3" x14ac:dyDescent="0.35">
      <c r="B53"/>
      <c r="C53"/>
    </row>
    <row r="54" spans="2:3" x14ac:dyDescent="0.35">
      <c r="B54"/>
      <c r="C54"/>
    </row>
    <row r="55" spans="2:3" x14ac:dyDescent="0.35">
      <c r="B55"/>
      <c r="C55"/>
    </row>
    <row r="56" spans="2:3" x14ac:dyDescent="0.35">
      <c r="B56"/>
      <c r="C56"/>
    </row>
    <row r="57" spans="2:3" x14ac:dyDescent="0.35">
      <c r="B57"/>
      <c r="C57"/>
    </row>
    <row r="58" spans="2:3" x14ac:dyDescent="0.35">
      <c r="B58"/>
      <c r="C58"/>
    </row>
    <row r="59" spans="2:3" x14ac:dyDescent="0.35">
      <c r="B59"/>
      <c r="C59"/>
    </row>
    <row r="60" spans="2:3" x14ac:dyDescent="0.35">
      <c r="B60"/>
      <c r="C60"/>
    </row>
    <row r="61" spans="2:3" x14ac:dyDescent="0.35">
      <c r="B61"/>
      <c r="C61"/>
    </row>
    <row r="62" spans="2:3" x14ac:dyDescent="0.35">
      <c r="B62"/>
      <c r="C62"/>
    </row>
    <row r="63" spans="2:3" x14ac:dyDescent="0.35">
      <c r="B63"/>
      <c r="C63"/>
    </row>
    <row r="64" spans="2:3" x14ac:dyDescent="0.35">
      <c r="B64"/>
      <c r="C64"/>
    </row>
    <row r="65" spans="2:3" x14ac:dyDescent="0.35">
      <c r="B65"/>
      <c r="C65"/>
    </row>
    <row r="66" spans="2:3" x14ac:dyDescent="0.35">
      <c r="B66"/>
      <c r="C66"/>
    </row>
    <row r="67" spans="2:3" x14ac:dyDescent="0.35">
      <c r="B67"/>
      <c r="C67"/>
    </row>
    <row r="68" spans="2:3" x14ac:dyDescent="0.35">
      <c r="B68"/>
      <c r="C68"/>
    </row>
    <row r="69" spans="2:3" x14ac:dyDescent="0.35">
      <c r="B69"/>
      <c r="C69"/>
    </row>
    <row r="70" spans="2:3" x14ac:dyDescent="0.35">
      <c r="B70"/>
      <c r="C70"/>
    </row>
    <row r="71" spans="2:3" x14ac:dyDescent="0.35">
      <c r="B71"/>
      <c r="C71"/>
    </row>
    <row r="72" spans="2:3" x14ac:dyDescent="0.35">
      <c r="B72"/>
      <c r="C72"/>
    </row>
    <row r="73" spans="2:3" x14ac:dyDescent="0.35">
      <c r="B73"/>
      <c r="C73"/>
    </row>
    <row r="74" spans="2:3" x14ac:dyDescent="0.35">
      <c r="B74"/>
      <c r="C74"/>
    </row>
    <row r="75" spans="2:3" x14ac:dyDescent="0.35">
      <c r="B75"/>
      <c r="C75"/>
    </row>
    <row r="76" spans="2:3" x14ac:dyDescent="0.35">
      <c r="B76"/>
      <c r="C76"/>
    </row>
    <row r="77" spans="2:3" x14ac:dyDescent="0.35">
      <c r="B77"/>
      <c r="C77"/>
    </row>
    <row r="78" spans="2:3" x14ac:dyDescent="0.35">
      <c r="B78"/>
      <c r="C78"/>
    </row>
    <row r="79" spans="2:3" x14ac:dyDescent="0.35">
      <c r="B79"/>
      <c r="C79"/>
    </row>
  </sheetData>
  <sheetProtection algorithmName="SHA-512" hashValue="XteulD/TWGLlcsy/Vrwu/dgFhA7RkeoQpHuL1wZsz4quL7VGDd8qBLzLm2WOM2VUDiAGVBJGp2AeRR+xhY2tdA==" saltValue="IZL1+vbaFxPmTWIui4eqjg==" spinCount="100000" sheet="1" objects="1" scenarios="1"/>
  <conditionalFormatting sqref="H3:I46">
    <cfRule type="cellIs" dxfId="50" priority="2" operator="equal">
      <formula>0</formula>
    </cfRule>
  </conditionalFormatting>
  <conditionalFormatting sqref="J3:L46">
    <cfRule type="cellIs" dxfId="49" priority="1" operator="equal">
      <formula>0</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BDB2-2C52-4837-A665-399D76180251}">
  <sheetPr codeName="Sheet5">
    <tabColor theme="1"/>
  </sheetPr>
  <dimension ref="A1:AG29"/>
  <sheetViews>
    <sheetView topLeftCell="M1" zoomScale="80" zoomScaleNormal="80" workbookViewId="0">
      <selection activeCell="O5" sqref="O5"/>
    </sheetView>
  </sheetViews>
  <sheetFormatPr defaultColWidth="8.7265625" defaultRowHeight="14.5" x14ac:dyDescent="0.35"/>
  <cols>
    <col min="1" max="2" width="11.54296875" style="2" customWidth="1"/>
    <col min="3" max="4" width="12.7265625" style="2" customWidth="1"/>
    <col min="5" max="6" width="11.1796875" style="2" customWidth="1"/>
    <col min="7" max="7" width="16.1796875" style="2" customWidth="1"/>
    <col min="8" max="9" width="16.1796875" style="3" customWidth="1"/>
    <col min="10" max="10" width="16.1796875" style="4" customWidth="1"/>
    <col min="11" max="11" width="33.1796875" style="2" customWidth="1"/>
    <col min="12" max="12" width="8.1796875" style="2" customWidth="1"/>
    <col min="13" max="13" width="21" style="2" customWidth="1"/>
    <col min="14" max="15" width="17.26953125" style="2" customWidth="1"/>
    <col min="16" max="16" width="11.7265625" style="5" customWidth="1"/>
    <col min="17" max="17" width="12.26953125" style="6" customWidth="1"/>
    <col min="18" max="25" width="20.81640625" style="2" customWidth="1"/>
    <col min="26" max="29" width="11.7265625" style="2" customWidth="1"/>
    <col min="30" max="30" width="20.54296875" style="2" customWidth="1"/>
    <col min="31" max="31" width="11.81640625" style="2" customWidth="1"/>
    <col min="32" max="16384" width="8.7265625" style="2"/>
  </cols>
  <sheetData>
    <row r="1" spans="1:33" x14ac:dyDescent="0.35">
      <c r="A1" s="2" t="s">
        <v>75</v>
      </c>
      <c r="B1" s="2" t="s">
        <v>13</v>
      </c>
      <c r="C1" s="2" t="s">
        <v>14</v>
      </c>
      <c r="D1" s="2" t="s">
        <v>73</v>
      </c>
      <c r="E1" s="2" t="s">
        <v>15</v>
      </c>
      <c r="F1" s="2" t="s">
        <v>74</v>
      </c>
      <c r="G1" s="2" t="s">
        <v>16</v>
      </c>
      <c r="H1" s="3" t="s">
        <v>17</v>
      </c>
      <c r="I1" s="3" t="s">
        <v>18</v>
      </c>
      <c r="J1" s="4" t="s">
        <v>19</v>
      </c>
      <c r="K1" s="2" t="s">
        <v>20</v>
      </c>
      <c r="L1" s="2" t="s">
        <v>21</v>
      </c>
      <c r="M1" s="2" t="s">
        <v>22</v>
      </c>
      <c r="N1" s="2" t="s">
        <v>23</v>
      </c>
      <c r="O1" s="2" t="s">
        <v>76</v>
      </c>
      <c r="P1" s="5" t="s">
        <v>24</v>
      </c>
      <c r="Q1" s="6" t="s">
        <v>25</v>
      </c>
      <c r="R1" s="2" t="s">
        <v>26</v>
      </c>
      <c r="S1" s="2" t="s">
        <v>92</v>
      </c>
      <c r="T1" s="2" t="s">
        <v>93</v>
      </c>
      <c r="U1" s="2" t="s">
        <v>94</v>
      </c>
      <c r="V1" s="2" t="s">
        <v>95</v>
      </c>
      <c r="W1" s="2" t="s">
        <v>96</v>
      </c>
      <c r="X1" s="2" t="s">
        <v>97</v>
      </c>
      <c r="Y1" s="2" t="s">
        <v>77</v>
      </c>
      <c r="Z1" s="2" t="s">
        <v>78</v>
      </c>
      <c r="AA1" s="2" t="s">
        <v>79</v>
      </c>
      <c r="AB1" s="2" t="s">
        <v>28</v>
      </c>
      <c r="AC1" s="2" t="s">
        <v>27</v>
      </c>
      <c r="AD1" s="2" t="s">
        <v>80</v>
      </c>
      <c r="AE1" s="2" t="s">
        <v>29</v>
      </c>
      <c r="AF1" s="2" t="s">
        <v>69</v>
      </c>
      <c r="AG1" s="2" t="s">
        <v>156</v>
      </c>
    </row>
    <row r="2" spans="1:33" x14ac:dyDescent="0.35">
      <c r="A2" s="2" t="s">
        <v>98</v>
      </c>
      <c r="B2" s="2" t="s">
        <v>35</v>
      </c>
      <c r="C2" s="2" t="s">
        <v>82</v>
      </c>
      <c r="D2" s="2" t="s">
        <v>81</v>
      </c>
      <c r="E2" s="2" t="s">
        <v>36</v>
      </c>
      <c r="G2" s="7" t="s">
        <v>99</v>
      </c>
      <c r="H2" s="8" t="s">
        <v>100</v>
      </c>
      <c r="I2" s="8"/>
      <c r="J2" s="9" t="s">
        <v>101</v>
      </c>
      <c r="K2" s="7" t="s">
        <v>102</v>
      </c>
      <c r="L2" s="7" t="s">
        <v>37</v>
      </c>
      <c r="M2" s="2">
        <v>437.2</v>
      </c>
      <c r="N2" s="2">
        <v>437.2</v>
      </c>
      <c r="O2" s="2">
        <v>0</v>
      </c>
      <c r="P2" s="5" t="s">
        <v>103</v>
      </c>
      <c r="Q2" s="10"/>
      <c r="R2" s="2">
        <v>437.2</v>
      </c>
      <c r="S2" s="2">
        <v>449.33</v>
      </c>
      <c r="T2" s="2">
        <v>449.33</v>
      </c>
      <c r="U2" s="2">
        <v>449.33</v>
      </c>
      <c r="V2" s="2">
        <v>440.26</v>
      </c>
      <c r="W2" s="2">
        <v>440.26</v>
      </c>
      <c r="X2" s="2">
        <v>440.26</v>
      </c>
      <c r="Y2" s="2">
        <v>64</v>
      </c>
      <c r="Z2" s="2">
        <v>0.32</v>
      </c>
      <c r="AA2" s="2">
        <v>13.939200000000001</v>
      </c>
      <c r="AB2" s="2">
        <v>2.1859999999999999</v>
      </c>
      <c r="AC2" s="2">
        <v>95.222160000000002</v>
      </c>
      <c r="AD2" s="2">
        <v>0.1</v>
      </c>
      <c r="AF2" s="2">
        <v>1</v>
      </c>
      <c r="AG2" s="2" t="str">
        <f>PRICING[[#This Row],[SKU]]&amp;"-"&amp;PRICING[[#This Row],[Set]]</f>
        <v>D00000903-1</v>
      </c>
    </row>
    <row r="3" spans="1:33" x14ac:dyDescent="0.35">
      <c r="A3" s="2" t="s">
        <v>98</v>
      </c>
      <c r="B3" s="2" t="s">
        <v>35</v>
      </c>
      <c r="C3" s="2" t="s">
        <v>82</v>
      </c>
      <c r="D3" s="2" t="s">
        <v>81</v>
      </c>
      <c r="E3" s="2" t="s">
        <v>36</v>
      </c>
      <c r="G3" s="7" t="s">
        <v>99</v>
      </c>
      <c r="H3" s="8" t="s">
        <v>100</v>
      </c>
      <c r="I3" s="8"/>
      <c r="J3" s="11" t="s">
        <v>101</v>
      </c>
      <c r="K3" s="7" t="s">
        <v>102</v>
      </c>
      <c r="L3" s="7" t="s">
        <v>37</v>
      </c>
      <c r="M3" s="2">
        <v>437.2</v>
      </c>
      <c r="N3" s="2">
        <v>415.36</v>
      </c>
      <c r="O3" s="2">
        <v>21.839999999999975</v>
      </c>
      <c r="P3" s="5" t="s">
        <v>104</v>
      </c>
      <c r="R3" s="2">
        <v>415.36</v>
      </c>
      <c r="S3" s="2">
        <v>449.33</v>
      </c>
      <c r="T3" s="2">
        <v>426.89</v>
      </c>
      <c r="U3" s="2">
        <v>426.89</v>
      </c>
      <c r="V3" s="2">
        <v>440.26</v>
      </c>
      <c r="W3" s="2">
        <v>418.27</v>
      </c>
      <c r="X3" s="2">
        <v>418.27</v>
      </c>
      <c r="Y3" s="2">
        <v>64</v>
      </c>
      <c r="Z3" s="2">
        <v>0.32</v>
      </c>
      <c r="AA3" s="2">
        <v>13.939200000000001</v>
      </c>
      <c r="AB3" s="2">
        <v>2.0768</v>
      </c>
      <c r="AC3" s="2">
        <v>90.465408000000011</v>
      </c>
      <c r="AD3" s="2">
        <v>0.14995425434583712</v>
      </c>
      <c r="AF3" s="2">
        <f>IF(PRICING[[#This Row],[SKU]]=J2,AF2+1,1)</f>
        <v>2</v>
      </c>
      <c r="AG3" s="2" t="str">
        <f>PRICING[[#This Row],[SKU]]&amp;"-"&amp;PRICING[[#This Row],[Set]]</f>
        <v>D00000903-2</v>
      </c>
    </row>
    <row r="4" spans="1:33" x14ac:dyDescent="0.35">
      <c r="A4" s="2" t="s">
        <v>98</v>
      </c>
      <c r="B4" s="2" t="s">
        <v>35</v>
      </c>
      <c r="C4" s="2" t="s">
        <v>82</v>
      </c>
      <c r="D4" s="2" t="s">
        <v>81</v>
      </c>
      <c r="E4" s="2" t="s">
        <v>36</v>
      </c>
      <c r="G4" s="7" t="s">
        <v>99</v>
      </c>
      <c r="H4" s="8" t="s">
        <v>100</v>
      </c>
      <c r="I4" s="8"/>
      <c r="J4" s="11" t="s">
        <v>101</v>
      </c>
      <c r="K4" s="7" t="s">
        <v>102</v>
      </c>
      <c r="L4" s="7" t="s">
        <v>37</v>
      </c>
      <c r="M4" s="2">
        <v>437.2</v>
      </c>
      <c r="N4" s="2">
        <v>393.6</v>
      </c>
      <c r="O4" s="2">
        <v>43.599999999999966</v>
      </c>
      <c r="P4" s="5" t="s">
        <v>105</v>
      </c>
      <c r="R4" s="2">
        <v>393.6</v>
      </c>
      <c r="S4" s="2">
        <v>449.33</v>
      </c>
      <c r="T4" s="2">
        <v>404.52</v>
      </c>
      <c r="U4" s="2">
        <v>404.52</v>
      </c>
      <c r="V4" s="2">
        <v>440.26</v>
      </c>
      <c r="W4" s="2">
        <v>396.36</v>
      </c>
      <c r="X4" s="2">
        <v>396.36</v>
      </c>
      <c r="Y4" s="2">
        <v>64</v>
      </c>
      <c r="Z4" s="2">
        <v>0.32</v>
      </c>
      <c r="AA4" s="2">
        <v>13.939200000000001</v>
      </c>
      <c r="AB4" s="2">
        <v>1.9680000000000002</v>
      </c>
      <c r="AC4" s="2">
        <v>85.72608000000001</v>
      </c>
      <c r="AD4" s="2">
        <v>0.19972552607502284</v>
      </c>
      <c r="AF4" s="2">
        <f>IF(PRICING[[#This Row],[SKU]]=J3,AF3+1,1)</f>
        <v>3</v>
      </c>
      <c r="AG4" s="2" t="str">
        <f>PRICING[[#This Row],[SKU]]&amp;"-"&amp;PRICING[[#This Row],[Set]]</f>
        <v>D00000903-3</v>
      </c>
    </row>
    <row r="5" spans="1:33" x14ac:dyDescent="0.35">
      <c r="A5" s="2" t="s">
        <v>106</v>
      </c>
      <c r="B5" s="2" t="s">
        <v>30</v>
      </c>
      <c r="C5" s="2" t="s">
        <v>107</v>
      </c>
      <c r="E5" s="2" t="s">
        <v>36</v>
      </c>
      <c r="G5" s="7" t="s">
        <v>108</v>
      </c>
      <c r="H5" s="8"/>
      <c r="I5" s="8"/>
      <c r="J5" s="11">
        <v>11008513</v>
      </c>
      <c r="K5" s="7" t="s">
        <v>109</v>
      </c>
      <c r="L5" s="7" t="s">
        <v>110</v>
      </c>
      <c r="M5" s="2">
        <v>193.38</v>
      </c>
      <c r="N5" s="2">
        <v>193.38</v>
      </c>
      <c r="O5" s="2">
        <v>0</v>
      </c>
      <c r="P5" s="5" t="s">
        <v>41</v>
      </c>
      <c r="Q5" s="6">
        <v>21</v>
      </c>
      <c r="R5" s="2">
        <v>172.38</v>
      </c>
      <c r="Y5" s="2">
        <v>5.6438300000000003</v>
      </c>
      <c r="Z5" s="2">
        <v>9.8714416896235072E-2</v>
      </c>
      <c r="AA5" s="2">
        <v>4.3</v>
      </c>
      <c r="AB5" s="2">
        <v>3.0150431860231439</v>
      </c>
      <c r="AC5" s="2">
        <v>131.33528118316815</v>
      </c>
      <c r="AD5" s="2">
        <v>0.1085944771951598</v>
      </c>
      <c r="AF5" s="2">
        <f>IF(PRICING[[#This Row],[SKU]]=J4,AF4+1,1)</f>
        <v>1</v>
      </c>
      <c r="AG5" s="2" t="str">
        <f>PRICING[[#This Row],[SKU]]&amp;"-"&amp;PRICING[[#This Row],[Set]]</f>
        <v>11008513-1</v>
      </c>
    </row>
    <row r="6" spans="1:33" x14ac:dyDescent="0.35">
      <c r="A6" s="2" t="s">
        <v>98</v>
      </c>
      <c r="B6" s="2" t="s">
        <v>30</v>
      </c>
      <c r="C6" s="2" t="s">
        <v>107</v>
      </c>
      <c r="E6" s="2" t="s">
        <v>111</v>
      </c>
      <c r="G6" s="7" t="s">
        <v>108</v>
      </c>
      <c r="H6" s="12"/>
      <c r="I6" s="12"/>
      <c r="J6" s="13" t="s">
        <v>112</v>
      </c>
      <c r="K6" s="7" t="s">
        <v>113</v>
      </c>
      <c r="L6" s="7" t="s">
        <v>52</v>
      </c>
      <c r="M6" s="2">
        <v>260.09999999999997</v>
      </c>
      <c r="N6" s="2">
        <v>260.09999999999997</v>
      </c>
      <c r="O6" s="2">
        <v>0</v>
      </c>
      <c r="P6" s="14" t="s">
        <v>40</v>
      </c>
      <c r="Q6" s="6">
        <v>12</v>
      </c>
      <c r="R6" s="2">
        <v>248.09999999999997</v>
      </c>
      <c r="Y6" s="2">
        <v>80</v>
      </c>
      <c r="Z6" s="2">
        <v>2.7089072543617996</v>
      </c>
      <c r="AA6" s="2">
        <v>118</v>
      </c>
      <c r="AB6" s="2">
        <v>8.4009986225895297</v>
      </c>
      <c r="AC6" s="2">
        <v>365.94749999999993</v>
      </c>
      <c r="AD6" s="2">
        <v>4.6136101499423265E-2</v>
      </c>
      <c r="AF6" s="2">
        <f>IF(PRICING[[#This Row],[SKU]]=J5,AF5+1,1)</f>
        <v>1</v>
      </c>
      <c r="AG6" s="2" t="str">
        <f>PRICING[[#This Row],[SKU]]&amp;"-"&amp;PRICING[[#This Row],[Set]]</f>
        <v>D00001274-1</v>
      </c>
    </row>
    <row r="7" spans="1:33" x14ac:dyDescent="0.35">
      <c r="A7" s="2" t="s">
        <v>98</v>
      </c>
      <c r="B7" s="2" t="s">
        <v>35</v>
      </c>
      <c r="C7" s="2" t="s">
        <v>107</v>
      </c>
      <c r="E7" s="2" t="s">
        <v>32</v>
      </c>
      <c r="G7" s="7" t="s">
        <v>108</v>
      </c>
      <c r="H7" s="12" t="s">
        <v>114</v>
      </c>
      <c r="I7" s="12"/>
      <c r="J7" s="13" t="s">
        <v>115</v>
      </c>
      <c r="K7" s="7" t="s">
        <v>116</v>
      </c>
      <c r="L7" s="7" t="s">
        <v>57</v>
      </c>
      <c r="M7" s="2">
        <v>250</v>
      </c>
      <c r="N7" s="2">
        <v>250</v>
      </c>
      <c r="O7" s="2">
        <v>0</v>
      </c>
      <c r="P7" s="14" t="s">
        <v>103</v>
      </c>
      <c r="R7" s="2">
        <v>250</v>
      </c>
      <c r="S7" s="2">
        <v>256.94</v>
      </c>
      <c r="T7" s="2">
        <v>256.94</v>
      </c>
      <c r="U7" s="2">
        <v>256.94</v>
      </c>
      <c r="V7" s="2">
        <v>251.75</v>
      </c>
      <c r="W7" s="2">
        <v>251.75</v>
      </c>
      <c r="X7" s="2">
        <v>251.75</v>
      </c>
      <c r="Y7" s="2">
        <v>12</v>
      </c>
      <c r="Z7" s="2">
        <v>0.18365472910927455</v>
      </c>
      <c r="AA7" s="2">
        <v>8</v>
      </c>
      <c r="AB7" s="2">
        <v>3.8261401897765528</v>
      </c>
      <c r="AC7" s="2">
        <v>166.66666666666666</v>
      </c>
      <c r="AD7" s="2">
        <v>0.1</v>
      </c>
      <c r="AF7" s="2">
        <f>IF(PRICING[[#This Row],[SKU]]=J6,AF6+1,1)</f>
        <v>1</v>
      </c>
      <c r="AG7" s="2" t="str">
        <f>PRICING[[#This Row],[SKU]]&amp;"-"&amp;PRICING[[#This Row],[Set]]</f>
        <v>D00000908-1</v>
      </c>
    </row>
    <row r="8" spans="1:33" x14ac:dyDescent="0.35">
      <c r="A8" s="2" t="s">
        <v>98</v>
      </c>
      <c r="B8" s="2" t="s">
        <v>35</v>
      </c>
      <c r="C8" s="2" t="s">
        <v>107</v>
      </c>
      <c r="E8" s="2" t="s">
        <v>32</v>
      </c>
      <c r="G8" s="7" t="s">
        <v>108</v>
      </c>
      <c r="H8" s="12" t="s">
        <v>114</v>
      </c>
      <c r="I8" s="12"/>
      <c r="J8" s="13" t="s">
        <v>115</v>
      </c>
      <c r="K8" s="7" t="s">
        <v>116</v>
      </c>
      <c r="L8" s="7" t="s">
        <v>57</v>
      </c>
      <c r="M8" s="2">
        <v>250</v>
      </c>
      <c r="N8" s="2">
        <v>237.48</v>
      </c>
      <c r="O8" s="2">
        <v>12.52000000000001</v>
      </c>
      <c r="P8" s="5" t="s">
        <v>104</v>
      </c>
      <c r="R8" s="2">
        <v>237.48</v>
      </c>
      <c r="S8" s="2">
        <v>256.94</v>
      </c>
      <c r="T8" s="2">
        <v>244.07</v>
      </c>
      <c r="U8" s="2">
        <v>244.07</v>
      </c>
      <c r="V8" s="2">
        <v>251.75</v>
      </c>
      <c r="W8" s="2">
        <v>239.14</v>
      </c>
      <c r="X8" s="2">
        <v>239.14</v>
      </c>
      <c r="Y8" s="2">
        <v>12</v>
      </c>
      <c r="Z8" s="2">
        <v>0.18365472910927455</v>
      </c>
      <c r="AA8" s="2">
        <v>8</v>
      </c>
      <c r="AB8" s="2">
        <v>3.6345270890725434</v>
      </c>
      <c r="AC8" s="2">
        <v>158.32</v>
      </c>
      <c r="AD8" s="2">
        <v>0.15008000000000002</v>
      </c>
      <c r="AF8" s="2">
        <f>IF(PRICING[[#This Row],[SKU]]=J7,AF7+1,1)</f>
        <v>2</v>
      </c>
      <c r="AG8" s="2" t="str">
        <f>PRICING[[#This Row],[SKU]]&amp;"-"&amp;PRICING[[#This Row],[Set]]</f>
        <v>D00000908-2</v>
      </c>
    </row>
    <row r="9" spans="1:33" x14ac:dyDescent="0.35">
      <c r="A9" s="2" t="s">
        <v>98</v>
      </c>
      <c r="B9" s="2" t="s">
        <v>35</v>
      </c>
      <c r="C9" s="2" t="s">
        <v>107</v>
      </c>
      <c r="E9" s="2" t="s">
        <v>32</v>
      </c>
      <c r="G9" s="7" t="s">
        <v>108</v>
      </c>
      <c r="H9" s="8" t="s">
        <v>114</v>
      </c>
      <c r="I9" s="8"/>
      <c r="J9" s="11" t="s">
        <v>115</v>
      </c>
      <c r="K9" s="7" t="s">
        <v>116</v>
      </c>
      <c r="L9" s="7" t="s">
        <v>57</v>
      </c>
      <c r="M9" s="2">
        <v>250</v>
      </c>
      <c r="N9" s="2">
        <v>225</v>
      </c>
      <c r="O9" s="2">
        <v>25</v>
      </c>
      <c r="P9" s="5" t="s">
        <v>105</v>
      </c>
      <c r="Q9" s="10"/>
      <c r="R9" s="2">
        <v>225</v>
      </c>
      <c r="S9" s="2">
        <v>256.94</v>
      </c>
      <c r="T9" s="2">
        <v>231.24</v>
      </c>
      <c r="U9" s="2">
        <v>231.24</v>
      </c>
      <c r="V9" s="2">
        <v>251.75</v>
      </c>
      <c r="W9" s="2">
        <v>226.58</v>
      </c>
      <c r="X9" s="2">
        <v>226.58</v>
      </c>
      <c r="Y9" s="2">
        <v>12</v>
      </c>
      <c r="Z9" s="2">
        <v>0.18365472910927455</v>
      </c>
      <c r="AA9" s="2">
        <v>8</v>
      </c>
      <c r="AB9" s="2">
        <v>3.443526170798898</v>
      </c>
      <c r="AC9" s="2">
        <v>150</v>
      </c>
      <c r="AD9" s="2">
        <v>0.19999999999999998</v>
      </c>
      <c r="AF9" s="2">
        <f>IF(PRICING[[#This Row],[SKU]]=J8,AF8+1,1)</f>
        <v>3</v>
      </c>
      <c r="AG9" s="2" t="str">
        <f>PRICING[[#This Row],[SKU]]&amp;"-"&amp;PRICING[[#This Row],[Set]]</f>
        <v>D00000908-3</v>
      </c>
    </row>
    <row r="10" spans="1:33" x14ac:dyDescent="0.35">
      <c r="A10" s="2" t="s">
        <v>98</v>
      </c>
      <c r="B10" s="2" t="s">
        <v>30</v>
      </c>
      <c r="C10" s="2" t="s">
        <v>107</v>
      </c>
      <c r="E10" s="2" t="s">
        <v>36</v>
      </c>
      <c r="G10" s="7" t="s">
        <v>108</v>
      </c>
      <c r="H10" s="15"/>
      <c r="I10" s="15"/>
      <c r="J10" s="4" t="s">
        <v>117</v>
      </c>
      <c r="K10" s="7" t="s">
        <v>118</v>
      </c>
      <c r="L10" s="7" t="s">
        <v>119</v>
      </c>
      <c r="M10" s="2">
        <v>329.75</v>
      </c>
      <c r="N10" s="2">
        <v>329.75</v>
      </c>
      <c r="O10" s="2">
        <v>0</v>
      </c>
      <c r="P10" s="5" t="s">
        <v>40</v>
      </c>
      <c r="Q10" s="6">
        <v>50</v>
      </c>
      <c r="R10" s="2">
        <v>279.75</v>
      </c>
      <c r="Y10" s="2">
        <v>32</v>
      </c>
      <c r="Z10" s="2">
        <v>0.18365472910927455</v>
      </c>
      <c r="AA10" s="2">
        <v>8</v>
      </c>
      <c r="AB10" s="2">
        <v>1.605544077134986</v>
      </c>
      <c r="AC10" s="2">
        <v>69.9375</v>
      </c>
      <c r="AD10" s="2">
        <v>0.15163002274450343</v>
      </c>
      <c r="AF10" s="2">
        <f>IF(PRICING[[#This Row],[SKU]]=J9,AF9+1,1)</f>
        <v>1</v>
      </c>
      <c r="AG10" s="2" t="str">
        <f>PRICING[[#This Row],[SKU]]&amp;"-"&amp;PRICING[[#This Row],[Set]]</f>
        <v>D00001275-1</v>
      </c>
    </row>
    <row r="11" spans="1:33" x14ac:dyDescent="0.35">
      <c r="A11" s="2" t="s">
        <v>98</v>
      </c>
      <c r="B11" s="2" t="s">
        <v>35</v>
      </c>
      <c r="C11" s="2" t="s">
        <v>107</v>
      </c>
      <c r="E11" s="2" t="s">
        <v>36</v>
      </c>
      <c r="G11" s="7" t="s">
        <v>108</v>
      </c>
      <c r="H11" s="12"/>
      <c r="I11" s="12"/>
      <c r="J11" s="9" t="s">
        <v>120</v>
      </c>
      <c r="K11" s="7" t="s">
        <v>83</v>
      </c>
      <c r="L11" s="7" t="s">
        <v>119</v>
      </c>
      <c r="M11" s="16">
        <v>744</v>
      </c>
      <c r="N11" s="16">
        <v>744</v>
      </c>
      <c r="O11" s="16">
        <v>0</v>
      </c>
      <c r="P11" s="5" t="s">
        <v>46</v>
      </c>
      <c r="Q11" s="10"/>
      <c r="R11" s="2">
        <v>744</v>
      </c>
      <c r="S11" s="2">
        <v>764.65</v>
      </c>
      <c r="T11" s="2">
        <v>764.65</v>
      </c>
      <c r="U11" s="2">
        <v>764.65</v>
      </c>
      <c r="V11" s="2">
        <v>749.21</v>
      </c>
      <c r="W11" s="2">
        <v>749.21</v>
      </c>
      <c r="X11" s="2">
        <v>749.21</v>
      </c>
      <c r="Y11" s="2">
        <v>32</v>
      </c>
      <c r="Z11" s="2">
        <v>7.8053259871441683E-2</v>
      </c>
      <c r="AA11" s="2">
        <v>3.4</v>
      </c>
      <c r="AB11" s="2">
        <v>1.8147382920110191</v>
      </c>
      <c r="AC11" s="2">
        <v>79.05</v>
      </c>
      <c r="AD11" s="2">
        <v>0.1</v>
      </c>
      <c r="AF11" s="2">
        <f>IF(PRICING[[#This Row],[SKU]]=J10,AF10+1,1)</f>
        <v>1</v>
      </c>
      <c r="AG11" s="2" t="str">
        <f>PRICING[[#This Row],[SKU]]&amp;"-"&amp;PRICING[[#This Row],[Set]]</f>
        <v>D00001272-1</v>
      </c>
    </row>
    <row r="12" spans="1:33" x14ac:dyDescent="0.35">
      <c r="A12" s="2" t="s">
        <v>98</v>
      </c>
      <c r="B12" s="2" t="s">
        <v>35</v>
      </c>
      <c r="C12" s="2" t="s">
        <v>107</v>
      </c>
      <c r="E12" s="2" t="s">
        <v>36</v>
      </c>
      <c r="G12" s="7" t="s">
        <v>108</v>
      </c>
      <c r="H12" s="8"/>
      <c r="I12" s="8"/>
      <c r="J12" s="11" t="s">
        <v>120</v>
      </c>
      <c r="K12" s="7" t="s">
        <v>83</v>
      </c>
      <c r="L12" s="7" t="s">
        <v>119</v>
      </c>
      <c r="M12" s="2">
        <v>744</v>
      </c>
      <c r="N12" s="2">
        <v>706.88</v>
      </c>
      <c r="O12" s="2">
        <v>37.120000000000005</v>
      </c>
      <c r="P12" s="5" t="s">
        <v>121</v>
      </c>
      <c r="R12" s="2">
        <v>706.88</v>
      </c>
      <c r="S12" s="2">
        <v>764.65</v>
      </c>
      <c r="T12" s="2">
        <v>726.41</v>
      </c>
      <c r="U12" s="2">
        <v>726.41</v>
      </c>
      <c r="V12" s="2">
        <v>749.21</v>
      </c>
      <c r="W12" s="2">
        <v>711.75</v>
      </c>
      <c r="X12" s="2">
        <v>711.75</v>
      </c>
      <c r="Y12" s="2">
        <v>32</v>
      </c>
      <c r="Z12" s="2">
        <v>7.8053259871441683E-2</v>
      </c>
      <c r="AA12" s="2">
        <v>3.4</v>
      </c>
      <c r="AB12" s="2">
        <v>1.7241965105601467</v>
      </c>
      <c r="AC12" s="2">
        <v>75.105999999999995</v>
      </c>
      <c r="AD12" s="2">
        <v>0.14989247311827961</v>
      </c>
      <c r="AF12" s="2">
        <f>IF(PRICING[[#This Row],[SKU]]=J11,AF11+1,1)</f>
        <v>2</v>
      </c>
      <c r="AG12" s="2" t="str">
        <f>PRICING[[#This Row],[SKU]]&amp;"-"&amp;PRICING[[#This Row],[Set]]</f>
        <v>D00001272-2</v>
      </c>
    </row>
    <row r="13" spans="1:33" x14ac:dyDescent="0.35">
      <c r="A13" s="2" t="s">
        <v>98</v>
      </c>
      <c r="B13" s="2" t="s">
        <v>35</v>
      </c>
      <c r="C13" s="2" t="s">
        <v>107</v>
      </c>
      <c r="E13" s="2" t="s">
        <v>36</v>
      </c>
      <c r="G13" s="7" t="s">
        <v>108</v>
      </c>
      <c r="H13" s="8"/>
      <c r="I13" s="8"/>
      <c r="J13" s="4" t="s">
        <v>120</v>
      </c>
      <c r="K13" s="2" t="s">
        <v>83</v>
      </c>
      <c r="L13" s="2" t="s">
        <v>119</v>
      </c>
      <c r="M13" s="2">
        <v>744</v>
      </c>
      <c r="N13" s="2">
        <v>669.6</v>
      </c>
      <c r="O13" s="2">
        <v>74.399999999999977</v>
      </c>
      <c r="P13" s="5" t="s">
        <v>43</v>
      </c>
      <c r="R13" s="17">
        <v>669.6</v>
      </c>
      <c r="S13" s="17">
        <v>764.65</v>
      </c>
      <c r="T13" s="17">
        <v>688.18</v>
      </c>
      <c r="U13" s="17">
        <v>688.18</v>
      </c>
      <c r="V13" s="17">
        <v>749.21</v>
      </c>
      <c r="W13" s="17">
        <v>674.29</v>
      </c>
      <c r="X13" s="17">
        <v>674.29</v>
      </c>
      <c r="Y13" s="17">
        <v>32</v>
      </c>
      <c r="Z13" s="2">
        <v>7.8053259871441683E-2</v>
      </c>
      <c r="AA13" s="2">
        <v>3.4</v>
      </c>
      <c r="AB13" s="2">
        <v>1.6332644628099173</v>
      </c>
      <c r="AC13" s="2">
        <v>71.144999999999996</v>
      </c>
      <c r="AD13" s="2">
        <v>0.19999999999999998</v>
      </c>
      <c r="AF13" s="2">
        <f>IF(PRICING[[#This Row],[SKU]]=J12,AF12+1,1)</f>
        <v>3</v>
      </c>
      <c r="AG13" s="2" t="str">
        <f>PRICING[[#This Row],[SKU]]&amp;"-"&amp;PRICING[[#This Row],[Set]]</f>
        <v>D00001272-3</v>
      </c>
    </row>
    <row r="14" spans="1:33" x14ac:dyDescent="0.35">
      <c r="A14" s="2" t="s">
        <v>98</v>
      </c>
      <c r="B14" s="2" t="s">
        <v>35</v>
      </c>
      <c r="C14" s="2" t="s">
        <v>107</v>
      </c>
      <c r="E14" s="2" t="s">
        <v>33</v>
      </c>
      <c r="G14" s="7" t="s">
        <v>108</v>
      </c>
      <c r="H14" s="8" t="s">
        <v>122</v>
      </c>
      <c r="I14" s="8"/>
      <c r="J14" s="4" t="s">
        <v>123</v>
      </c>
      <c r="K14" s="2" t="s">
        <v>124</v>
      </c>
      <c r="L14" s="2" t="s">
        <v>37</v>
      </c>
      <c r="M14" s="2">
        <v>1156.8</v>
      </c>
      <c r="N14" s="2">
        <v>1156.8</v>
      </c>
      <c r="O14" s="2">
        <v>0</v>
      </c>
      <c r="P14" s="14" t="s">
        <v>46</v>
      </c>
      <c r="R14" s="2">
        <v>1156.8</v>
      </c>
      <c r="S14" s="2">
        <v>1188.9000000000001</v>
      </c>
      <c r="T14" s="2">
        <v>1188.9000000000001</v>
      </c>
      <c r="U14" s="2">
        <v>1188.9000000000001</v>
      </c>
      <c r="V14" s="2">
        <v>1164.9000000000001</v>
      </c>
      <c r="W14" s="2">
        <v>1164.9000000000001</v>
      </c>
      <c r="X14" s="2">
        <v>1164.9000000000001</v>
      </c>
      <c r="Y14" s="2">
        <v>64</v>
      </c>
      <c r="Z14" s="2">
        <v>0.42470156106519741</v>
      </c>
      <c r="AA14" s="2">
        <v>18.5</v>
      </c>
      <c r="AB14" s="2">
        <v>7.676480716253443</v>
      </c>
      <c r="AC14" s="2">
        <v>334.38749999999999</v>
      </c>
      <c r="AD14" s="2">
        <v>0.1</v>
      </c>
      <c r="AF14" s="2">
        <f>IF(PRICING[[#This Row],[SKU]]=J13,AF13+1,1)</f>
        <v>1</v>
      </c>
      <c r="AG14" s="2" t="str">
        <f>PRICING[[#This Row],[SKU]]&amp;"-"&amp;PRICING[[#This Row],[Set]]</f>
        <v>D00000946-1</v>
      </c>
    </row>
    <row r="15" spans="1:33" x14ac:dyDescent="0.35">
      <c r="A15" s="2" t="s">
        <v>98</v>
      </c>
      <c r="B15" s="2" t="s">
        <v>35</v>
      </c>
      <c r="C15" s="2" t="s">
        <v>107</v>
      </c>
      <c r="E15" s="2" t="s">
        <v>33</v>
      </c>
      <c r="G15" s="7" t="s">
        <v>108</v>
      </c>
      <c r="H15" s="8" t="s">
        <v>122</v>
      </c>
      <c r="I15" s="8"/>
      <c r="J15" s="4" t="s">
        <v>123</v>
      </c>
      <c r="K15" s="2" t="s">
        <v>124</v>
      </c>
      <c r="L15" s="2" t="s">
        <v>37</v>
      </c>
      <c r="M15" s="2">
        <v>1156.8</v>
      </c>
      <c r="N15" s="2">
        <v>1098.8800000000001</v>
      </c>
      <c r="O15" s="2">
        <v>57.919999999999845</v>
      </c>
      <c r="P15" s="5" t="s">
        <v>121</v>
      </c>
      <c r="R15" s="2">
        <v>1098.8800000000001</v>
      </c>
      <c r="S15" s="2">
        <v>1188.9000000000001</v>
      </c>
      <c r="T15" s="2">
        <v>1129.3699999999999</v>
      </c>
      <c r="U15" s="2">
        <v>1129.3699999999999</v>
      </c>
      <c r="V15" s="2">
        <v>1164.9000000000001</v>
      </c>
      <c r="W15" s="2">
        <v>1106.57</v>
      </c>
      <c r="X15" s="2">
        <v>1106.57</v>
      </c>
      <c r="Y15" s="2">
        <v>64</v>
      </c>
      <c r="Z15" s="2">
        <v>0.42470156106519741</v>
      </c>
      <c r="AA15" s="2">
        <v>18.5</v>
      </c>
      <c r="AB15" s="2">
        <v>7.2921258034894398</v>
      </c>
      <c r="AC15" s="2">
        <v>317.64500000000004</v>
      </c>
      <c r="AD15" s="2">
        <v>0.15006915629322251</v>
      </c>
      <c r="AF15" s="2">
        <f>IF(PRICING[[#This Row],[SKU]]=J14,AF14+1,1)</f>
        <v>2</v>
      </c>
      <c r="AG15" s="2" t="str">
        <f>PRICING[[#This Row],[SKU]]&amp;"-"&amp;PRICING[[#This Row],[Set]]</f>
        <v>D00000946-2</v>
      </c>
    </row>
    <row r="16" spans="1:33" x14ac:dyDescent="0.35">
      <c r="A16" s="2" t="s">
        <v>98</v>
      </c>
      <c r="B16" s="2" t="s">
        <v>35</v>
      </c>
      <c r="C16" s="2" t="s">
        <v>107</v>
      </c>
      <c r="E16" s="2" t="s">
        <v>33</v>
      </c>
      <c r="G16" s="7" t="s">
        <v>108</v>
      </c>
      <c r="H16" s="8" t="s">
        <v>122</v>
      </c>
      <c r="I16" s="8"/>
      <c r="J16" s="4" t="s">
        <v>123</v>
      </c>
      <c r="K16" s="2" t="s">
        <v>124</v>
      </c>
      <c r="L16" s="2" t="s">
        <v>37</v>
      </c>
      <c r="M16" s="2">
        <v>1156.8</v>
      </c>
      <c r="N16" s="2">
        <v>1041.28</v>
      </c>
      <c r="O16" s="2">
        <v>115.51999999999998</v>
      </c>
      <c r="P16" s="5" t="s">
        <v>43</v>
      </c>
      <c r="R16" s="2">
        <v>1041.28</v>
      </c>
      <c r="S16" s="2">
        <v>1188.9000000000001</v>
      </c>
      <c r="T16" s="2">
        <v>1070.18</v>
      </c>
      <c r="U16" s="2">
        <v>1070.18</v>
      </c>
      <c r="V16" s="2">
        <v>1164.9000000000001</v>
      </c>
      <c r="W16" s="2">
        <v>1048.57</v>
      </c>
      <c r="X16" s="2">
        <v>1048.57</v>
      </c>
      <c r="Y16" s="2">
        <v>64</v>
      </c>
      <c r="Z16" s="2">
        <v>0.42470156106519741</v>
      </c>
      <c r="AA16" s="2">
        <v>18.5</v>
      </c>
      <c r="AB16" s="2">
        <v>6.9098943985307617</v>
      </c>
      <c r="AC16" s="2">
        <v>300.995</v>
      </c>
      <c r="AD16" s="2">
        <v>0.19986168741355462</v>
      </c>
      <c r="AF16" s="2">
        <f>IF(PRICING[[#This Row],[SKU]]=J15,AF15+1,1)</f>
        <v>3</v>
      </c>
      <c r="AG16" s="2" t="str">
        <f>PRICING[[#This Row],[SKU]]&amp;"-"&amp;PRICING[[#This Row],[Set]]</f>
        <v>D00000946-3</v>
      </c>
    </row>
    <row r="17" spans="1:33" x14ac:dyDescent="0.35">
      <c r="A17" s="2" t="s">
        <v>98</v>
      </c>
      <c r="B17" s="2" t="s">
        <v>35</v>
      </c>
      <c r="C17" s="2" t="s">
        <v>107</v>
      </c>
      <c r="E17" s="2" t="s">
        <v>33</v>
      </c>
      <c r="G17" s="7" t="s">
        <v>108</v>
      </c>
      <c r="H17" s="8" t="s">
        <v>125</v>
      </c>
      <c r="I17" s="8"/>
      <c r="J17" s="9" t="s">
        <v>126</v>
      </c>
      <c r="K17" s="2" t="s">
        <v>127</v>
      </c>
      <c r="L17" s="2" t="s">
        <v>55</v>
      </c>
      <c r="M17" s="2">
        <v>126.5</v>
      </c>
      <c r="N17" s="2">
        <v>126.5</v>
      </c>
      <c r="O17" s="2">
        <v>0</v>
      </c>
      <c r="P17" s="5" t="s">
        <v>128</v>
      </c>
      <c r="R17" s="2">
        <v>126.5</v>
      </c>
      <c r="S17" s="2">
        <v>130.01</v>
      </c>
      <c r="T17" s="2">
        <v>130.01</v>
      </c>
      <c r="U17" s="2">
        <v>130.01</v>
      </c>
      <c r="V17" s="2">
        <v>127</v>
      </c>
      <c r="W17" s="2">
        <v>127</v>
      </c>
      <c r="X17" s="2">
        <v>127</v>
      </c>
      <c r="Y17" s="2">
        <v>50</v>
      </c>
      <c r="Z17" s="2">
        <v>3.443526170798898</v>
      </c>
      <c r="AA17" s="2">
        <v>150</v>
      </c>
      <c r="AB17" s="2">
        <v>8.712121212121211</v>
      </c>
      <c r="AC17" s="2">
        <v>379.49999999999994</v>
      </c>
      <c r="AD17" s="2">
        <v>0.1</v>
      </c>
      <c r="AF17" s="2">
        <f>IF(PRICING[[#This Row],[SKU]]=J16,AF16+1,1)</f>
        <v>1</v>
      </c>
      <c r="AG17" s="2" t="str">
        <f>PRICING[[#This Row],[SKU]]&amp;"-"&amp;PRICING[[#This Row],[Set]]</f>
        <v>D00000945-1</v>
      </c>
    </row>
    <row r="18" spans="1:33" x14ac:dyDescent="0.35">
      <c r="A18" s="2" t="s">
        <v>98</v>
      </c>
      <c r="B18" s="2" t="s">
        <v>35</v>
      </c>
      <c r="C18" s="2" t="s">
        <v>107</v>
      </c>
      <c r="E18" s="2" t="s">
        <v>33</v>
      </c>
      <c r="G18" s="2" t="s">
        <v>108</v>
      </c>
      <c r="H18" s="3" t="s">
        <v>125</v>
      </c>
      <c r="J18" s="9" t="s">
        <v>126</v>
      </c>
      <c r="K18" s="2" t="s">
        <v>127</v>
      </c>
      <c r="L18" s="2" t="s">
        <v>55</v>
      </c>
      <c r="M18" s="2">
        <v>126.5</v>
      </c>
      <c r="N18" s="2">
        <v>120</v>
      </c>
      <c r="O18" s="2">
        <v>6.5</v>
      </c>
      <c r="P18" s="5" t="s">
        <v>129</v>
      </c>
      <c r="R18" s="2">
        <v>120</v>
      </c>
      <c r="S18" s="2">
        <v>130.01</v>
      </c>
      <c r="T18" s="2">
        <v>123.33</v>
      </c>
      <c r="U18" s="2">
        <v>123.33</v>
      </c>
      <c r="V18" s="2">
        <v>127</v>
      </c>
      <c r="W18" s="2">
        <v>120.84</v>
      </c>
      <c r="X18" s="2">
        <v>120.84</v>
      </c>
      <c r="Y18" s="2">
        <v>50</v>
      </c>
      <c r="Z18" s="2">
        <v>3.443526170798898</v>
      </c>
      <c r="AA18" s="2">
        <v>150</v>
      </c>
      <c r="AB18" s="2">
        <v>8.2644628099173545</v>
      </c>
      <c r="AC18" s="2">
        <v>360</v>
      </c>
      <c r="AD18" s="2">
        <v>0.15138339920948621</v>
      </c>
      <c r="AF18" s="2">
        <f>IF(PRICING[[#This Row],[SKU]]=J17,AF17+1,1)</f>
        <v>2</v>
      </c>
      <c r="AG18" s="2" t="str">
        <f>PRICING[[#This Row],[SKU]]&amp;"-"&amp;PRICING[[#This Row],[Set]]</f>
        <v>D00000945-2</v>
      </c>
    </row>
    <row r="19" spans="1:33" x14ac:dyDescent="0.35">
      <c r="A19" s="2" t="s">
        <v>98</v>
      </c>
      <c r="B19" s="2" t="s">
        <v>35</v>
      </c>
      <c r="C19" s="2" t="s">
        <v>107</v>
      </c>
      <c r="E19" s="2" t="s">
        <v>33</v>
      </c>
      <c r="G19" s="7" t="s">
        <v>108</v>
      </c>
      <c r="H19" s="8" t="s">
        <v>125</v>
      </c>
      <c r="I19" s="8"/>
      <c r="J19" s="4" t="s">
        <v>126</v>
      </c>
      <c r="K19" s="2" t="s">
        <v>127</v>
      </c>
      <c r="L19" s="2" t="s">
        <v>55</v>
      </c>
      <c r="M19" s="2">
        <v>126.5</v>
      </c>
      <c r="N19" s="6">
        <v>114</v>
      </c>
      <c r="O19" s="6">
        <v>12.5</v>
      </c>
      <c r="P19" s="5" t="s">
        <v>130</v>
      </c>
      <c r="Q19" s="10"/>
      <c r="R19" s="2">
        <v>114</v>
      </c>
      <c r="S19" s="2">
        <v>130.01</v>
      </c>
      <c r="T19" s="2">
        <v>117.16</v>
      </c>
      <c r="U19" s="2">
        <v>117.16</v>
      </c>
      <c r="V19" s="2">
        <v>127</v>
      </c>
      <c r="W19" s="2">
        <v>114.8</v>
      </c>
      <c r="X19" s="2">
        <v>114.8</v>
      </c>
      <c r="Y19" s="2">
        <v>50</v>
      </c>
      <c r="Z19" s="2">
        <v>3.443526170798898</v>
      </c>
      <c r="AA19" s="2">
        <v>150</v>
      </c>
      <c r="AB19" s="2">
        <v>7.8512396694214868</v>
      </c>
      <c r="AC19" s="2">
        <v>341.99999999999994</v>
      </c>
      <c r="AD19" s="2">
        <v>0.19881422924901185</v>
      </c>
      <c r="AF19" s="2">
        <f>IF(PRICING[[#This Row],[SKU]]=J18,AF18+1,1)</f>
        <v>3</v>
      </c>
      <c r="AG19" s="2" t="str">
        <f>PRICING[[#This Row],[SKU]]&amp;"-"&amp;PRICING[[#This Row],[Set]]</f>
        <v>D00000945-3</v>
      </c>
    </row>
    <row r="20" spans="1:33" x14ac:dyDescent="0.35">
      <c r="A20" s="2" t="s">
        <v>98</v>
      </c>
      <c r="B20" s="2" t="s">
        <v>35</v>
      </c>
      <c r="C20" s="2" t="s">
        <v>107</v>
      </c>
      <c r="E20" s="2" t="s">
        <v>36</v>
      </c>
      <c r="G20" s="7" t="s">
        <v>108</v>
      </c>
      <c r="H20" s="8" t="s">
        <v>131</v>
      </c>
      <c r="I20" s="8"/>
      <c r="J20" s="4" t="s">
        <v>132</v>
      </c>
      <c r="K20" s="2" t="s">
        <v>133</v>
      </c>
      <c r="L20" s="2" t="s">
        <v>49</v>
      </c>
      <c r="M20" s="2">
        <v>384.8</v>
      </c>
      <c r="N20" s="6">
        <v>384.8</v>
      </c>
      <c r="O20" s="6">
        <v>0</v>
      </c>
      <c r="P20" s="5" t="s">
        <v>51</v>
      </c>
      <c r="Q20" s="10"/>
      <c r="R20" s="2">
        <v>384.8</v>
      </c>
      <c r="S20" s="2">
        <v>395.48</v>
      </c>
      <c r="T20" s="2">
        <v>395.48</v>
      </c>
      <c r="U20" s="2">
        <v>395.48</v>
      </c>
      <c r="V20" s="2">
        <v>387.5</v>
      </c>
      <c r="W20" s="2">
        <v>387.5</v>
      </c>
      <c r="X20" s="2">
        <v>387.5</v>
      </c>
      <c r="Y20" s="2">
        <v>8</v>
      </c>
      <c r="Z20" s="2">
        <v>9.1827364554637275E-2</v>
      </c>
      <c r="AA20" s="2">
        <v>4</v>
      </c>
      <c r="AB20" s="2">
        <v>4.4168962350780534</v>
      </c>
      <c r="AC20" s="2">
        <v>192.4</v>
      </c>
      <c r="AD20" s="2">
        <v>0.1</v>
      </c>
      <c r="AF20" s="2">
        <f>IF(PRICING[[#This Row],[SKU]]=J19,AF19+1,1)</f>
        <v>1</v>
      </c>
      <c r="AG20" s="2" t="str">
        <f>PRICING[[#This Row],[SKU]]&amp;"-"&amp;PRICING[[#This Row],[Set]]</f>
        <v>D00000987-1</v>
      </c>
    </row>
    <row r="21" spans="1:33" x14ac:dyDescent="0.35">
      <c r="A21" s="2" t="s">
        <v>98</v>
      </c>
      <c r="B21" s="2" t="s">
        <v>35</v>
      </c>
      <c r="C21" s="2" t="s">
        <v>107</v>
      </c>
      <c r="E21" s="2" t="s">
        <v>36</v>
      </c>
      <c r="G21" s="7" t="s">
        <v>108</v>
      </c>
      <c r="H21" s="12" t="s">
        <v>131</v>
      </c>
      <c r="I21" s="12"/>
      <c r="J21" s="4" t="s">
        <v>132</v>
      </c>
      <c r="K21" s="2" t="s">
        <v>133</v>
      </c>
      <c r="L21" s="2" t="s">
        <v>49</v>
      </c>
      <c r="M21" s="2">
        <v>384.8</v>
      </c>
      <c r="N21" s="6">
        <v>365.6</v>
      </c>
      <c r="O21" s="6">
        <v>19.199999999999989</v>
      </c>
      <c r="P21" s="5" t="s">
        <v>134</v>
      </c>
      <c r="Q21" s="10"/>
      <c r="R21" s="2">
        <v>365.6</v>
      </c>
      <c r="S21" s="2">
        <v>395.48</v>
      </c>
      <c r="T21" s="2">
        <v>375.75</v>
      </c>
      <c r="U21" s="2">
        <v>375.75</v>
      </c>
      <c r="V21" s="2">
        <v>387.5</v>
      </c>
      <c r="W21" s="2">
        <v>368.16</v>
      </c>
      <c r="X21" s="2">
        <v>368.16</v>
      </c>
      <c r="Y21" s="2">
        <v>8</v>
      </c>
      <c r="Z21" s="2">
        <v>9.1827364554637275E-2</v>
      </c>
      <c r="AA21" s="2">
        <v>4</v>
      </c>
      <c r="AB21" s="2">
        <v>4.1965105601469235</v>
      </c>
      <c r="AC21" s="2">
        <v>182.8</v>
      </c>
      <c r="AD21" s="2">
        <v>0.1498960498960499</v>
      </c>
      <c r="AF21" s="2">
        <f>IF(PRICING[[#This Row],[SKU]]=J20,AF20+1,1)</f>
        <v>2</v>
      </c>
      <c r="AG21" s="2" t="str">
        <f>PRICING[[#This Row],[SKU]]&amp;"-"&amp;PRICING[[#This Row],[Set]]</f>
        <v>D00000987-2</v>
      </c>
    </row>
    <row r="22" spans="1:33" x14ac:dyDescent="0.35">
      <c r="A22" s="2" t="s">
        <v>98</v>
      </c>
      <c r="B22" s="2" t="s">
        <v>35</v>
      </c>
      <c r="C22" s="2" t="s">
        <v>107</v>
      </c>
      <c r="E22" s="2" t="s">
        <v>36</v>
      </c>
      <c r="G22" s="7" t="s">
        <v>108</v>
      </c>
      <c r="H22" s="12" t="s">
        <v>131</v>
      </c>
      <c r="I22" s="12"/>
      <c r="J22" s="4" t="s">
        <v>132</v>
      </c>
      <c r="K22" s="2" t="s">
        <v>133</v>
      </c>
      <c r="L22" s="2" t="s">
        <v>49</v>
      </c>
      <c r="M22" s="2">
        <v>384.8</v>
      </c>
      <c r="N22" s="6">
        <v>346.32</v>
      </c>
      <c r="O22" s="6">
        <v>38.480000000000018</v>
      </c>
      <c r="P22" s="5" t="s">
        <v>135</v>
      </c>
      <c r="Q22" s="10"/>
      <c r="R22" s="2">
        <v>346.32</v>
      </c>
      <c r="S22" s="2">
        <v>395.48</v>
      </c>
      <c r="T22" s="2">
        <v>355.93</v>
      </c>
      <c r="U22" s="2">
        <v>355.93</v>
      </c>
      <c r="V22" s="2">
        <v>387.5</v>
      </c>
      <c r="W22" s="2">
        <v>348.74</v>
      </c>
      <c r="X22" s="2">
        <v>348.74</v>
      </c>
      <c r="Y22" s="2">
        <v>8</v>
      </c>
      <c r="Z22" s="2">
        <v>9.1827364554637275E-2</v>
      </c>
      <c r="AA22" s="2">
        <v>4</v>
      </c>
      <c r="AB22" s="2">
        <v>3.9752066115702474</v>
      </c>
      <c r="AC22" s="2">
        <v>173.16</v>
      </c>
      <c r="AD22" s="2">
        <v>0.20000000000000009</v>
      </c>
      <c r="AF22" s="2">
        <f>IF(PRICING[[#This Row],[SKU]]=J21,AF21+1,1)</f>
        <v>3</v>
      </c>
      <c r="AG22" s="2" t="str">
        <f>PRICING[[#This Row],[SKU]]&amp;"-"&amp;PRICING[[#This Row],[Set]]</f>
        <v>D00000987-3</v>
      </c>
    </row>
    <row r="23" spans="1:33" x14ac:dyDescent="0.35">
      <c r="A23" s="2" t="s">
        <v>98</v>
      </c>
      <c r="B23" s="2" t="s">
        <v>30</v>
      </c>
      <c r="C23" s="2" t="s">
        <v>107</v>
      </c>
      <c r="E23" s="2" t="s">
        <v>36</v>
      </c>
      <c r="G23" s="7" t="s">
        <v>108</v>
      </c>
      <c r="H23" s="18"/>
      <c r="I23" s="18"/>
      <c r="J23" s="4" t="s">
        <v>136</v>
      </c>
      <c r="K23" s="2" t="s">
        <v>137</v>
      </c>
      <c r="L23" s="2" t="s">
        <v>119</v>
      </c>
      <c r="M23" s="2">
        <v>417.59999999999997</v>
      </c>
      <c r="N23" s="6">
        <v>417.59999999999997</v>
      </c>
      <c r="O23" s="6">
        <v>0</v>
      </c>
      <c r="P23" s="14" t="s">
        <v>40</v>
      </c>
      <c r="Q23" s="10">
        <v>25</v>
      </c>
      <c r="R23" s="2">
        <v>392.59999999999997</v>
      </c>
      <c r="Y23" s="2">
        <v>32</v>
      </c>
      <c r="Z23" s="2">
        <v>0.29384756657483929</v>
      </c>
      <c r="AA23" s="2">
        <v>12.8</v>
      </c>
      <c r="AB23" s="2">
        <v>3.6051423324150593</v>
      </c>
      <c r="AC23" s="2">
        <v>157.04</v>
      </c>
      <c r="AD23" s="2">
        <v>5.9865900383141768E-2</v>
      </c>
      <c r="AF23" s="2">
        <f>IF(PRICING[[#This Row],[SKU]]=J22,AF22+1,1)</f>
        <v>1</v>
      </c>
      <c r="AG23" s="2" t="str">
        <f>PRICING[[#This Row],[SKU]]&amp;"-"&amp;PRICING[[#This Row],[Set]]</f>
        <v>D00001276-1</v>
      </c>
    </row>
    <row r="24" spans="1:33" x14ac:dyDescent="0.35">
      <c r="A24" s="2" t="s">
        <v>106</v>
      </c>
      <c r="B24" s="2" t="s">
        <v>30</v>
      </c>
      <c r="C24" s="2" t="s">
        <v>31</v>
      </c>
      <c r="D24" s="2" t="s">
        <v>81</v>
      </c>
      <c r="E24" s="2" t="s">
        <v>36</v>
      </c>
      <c r="G24" s="7" t="s">
        <v>99</v>
      </c>
      <c r="H24" s="18"/>
      <c r="I24" s="18"/>
      <c r="J24" s="4">
        <v>11008457</v>
      </c>
      <c r="K24" s="2" t="s">
        <v>56</v>
      </c>
      <c r="L24" s="2" t="s">
        <v>34</v>
      </c>
      <c r="M24" s="2">
        <v>60.72</v>
      </c>
      <c r="N24" s="6">
        <v>60.72</v>
      </c>
      <c r="O24" s="6">
        <v>0</v>
      </c>
      <c r="P24" s="5" t="s">
        <v>40</v>
      </c>
      <c r="Q24" s="10">
        <v>6</v>
      </c>
      <c r="R24" s="2">
        <v>54.72</v>
      </c>
      <c r="Y24" s="2">
        <v>128</v>
      </c>
      <c r="Z24" s="2">
        <v>1.8365472910927456</v>
      </c>
      <c r="AA24" s="2">
        <v>80</v>
      </c>
      <c r="AB24" s="2">
        <v>0.7851239669421487</v>
      </c>
      <c r="AC24" s="2">
        <v>34.200000000000003</v>
      </c>
      <c r="AD24" s="2">
        <v>9.8814229249011842E-2</v>
      </c>
      <c r="AF24" s="2">
        <f>IF(PRICING[[#This Row],[SKU]]=J23,AF23+1,1)</f>
        <v>1</v>
      </c>
      <c r="AG24" s="2" t="str">
        <f>PRICING[[#This Row],[SKU]]&amp;"-"&amp;PRICING[[#This Row],[Set]]</f>
        <v>11008457-1</v>
      </c>
    </row>
    <row r="29" spans="1:33" x14ac:dyDescent="0.35">
      <c r="N29" s="17"/>
      <c r="O29" s="17"/>
    </row>
  </sheetData>
  <phoneticPr fontId="30" type="noConversion"/>
  <conditionalFormatting sqref="H6:I6">
    <cfRule type="duplicateValues" dxfId="35" priority="114"/>
    <cfRule type="duplicateValues" dxfId="34" priority="115"/>
    <cfRule type="duplicateValues" dxfId="33" priority="116"/>
  </conditionalFormatting>
  <conditionalFormatting sqref="H7:I7">
    <cfRule type="duplicateValues" dxfId="32" priority="111"/>
    <cfRule type="duplicateValues" dxfId="31" priority="112"/>
    <cfRule type="duplicateValues" dxfId="30" priority="113"/>
  </conditionalFormatting>
  <conditionalFormatting sqref="H8:I8">
    <cfRule type="duplicateValues" dxfId="29" priority="108"/>
    <cfRule type="duplicateValues" dxfId="28" priority="109"/>
    <cfRule type="duplicateValues" dxfId="27" priority="110"/>
  </conditionalFormatting>
  <conditionalFormatting sqref="H10:I10">
    <cfRule type="duplicateValues" dxfId="26" priority="99"/>
    <cfRule type="duplicateValues" dxfId="25" priority="100"/>
    <cfRule type="duplicateValues" dxfId="24" priority="101"/>
  </conditionalFormatting>
  <conditionalFormatting sqref="H11:I11">
    <cfRule type="duplicateValues" dxfId="23" priority="102"/>
    <cfRule type="duplicateValues" dxfId="22" priority="103"/>
    <cfRule type="duplicateValues" dxfId="21" priority="104"/>
  </conditionalFormatting>
  <conditionalFormatting sqref="H21:I21">
    <cfRule type="duplicateValues" dxfId="20" priority="96"/>
    <cfRule type="duplicateValues" dxfId="19" priority="97"/>
    <cfRule type="duplicateValues" dxfId="18" priority="98"/>
  </conditionalFormatting>
  <conditionalFormatting sqref="H22:I22">
    <cfRule type="duplicateValues" dxfId="17" priority="93"/>
    <cfRule type="duplicateValues" dxfId="16" priority="94"/>
    <cfRule type="duplicateValues" dxfId="15" priority="95"/>
  </conditionalFormatting>
  <conditionalFormatting sqref="H23:I23">
    <cfRule type="duplicateValues" dxfId="14" priority="87"/>
    <cfRule type="duplicateValues" dxfId="13" priority="88"/>
    <cfRule type="duplicateValues" dxfId="12" priority="89"/>
  </conditionalFormatting>
  <conditionalFormatting sqref="H24:I24">
    <cfRule type="duplicateValues" dxfId="11" priority="84"/>
    <cfRule type="duplicateValues" dxfId="10" priority="85"/>
    <cfRule type="duplicateValues" dxfId="9" priority="86"/>
  </conditionalFormatting>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1ce833d-881d-4ea7-8876-98262ddbb929">
      <Terms xmlns="http://schemas.microsoft.com/office/infopath/2007/PartnerControls"/>
    </lcf76f155ced4ddcb4097134ff3c332f>
    <TaxCatchAll xmlns="b923c84e-8e5b-4d21-ad7b-fae7171a6448" xsi:nil="true"/>
  </documentManagement>
</p:properties>
</file>

<file path=customXml/item2.xml>��< ? x m l   v e r s i o n = " 1 . 0 "   e n c o d i n g = " u t f - 1 6 " ? > < D a t a M a s h u p   x m l n s = " h t t p : / / s c h e m a s . m i c r o s o f t . c o m / D a t a M a s h u p " > A A A A A B Q D A A B Q S w M E F A A C A A g A a J n Z W k t A w O O k A A A A 9 g A A A B I A H A B D b 2 5 m a W c v U G F j a 2 F n Z S 5 4 b W w g o h g A K K A U A A A A A A A A A A A A A A A A A A A A A A A A A A A A h Y 9 B D o I w F E S v Q r q n L Y i J I Z + y c C u J C d G 4 J a V C I 3 w M L Z a 7 u f B I X k G M o u 5 c z p u 3 m L l f b 5 C O b e N d V G 9 0 h w k J K C e e Q t m V G q u E D P b o r 0 g q Y F v I U 1 E p b 5 L R x K M p E 1 J b e 4 4 Z c 8 5 R t 6 B d X 7 G Q 8 4 A d s k 0 u a 9 U W 5 C P r / 7 K v 0 d g C p S I C 9 q 8 x I q R B x G n E l 5 Q D m y F k G r 9 C O O 1 9 t j 8 Q 1 k N j h 1 4 J h f 4 u B z Z H Y O 8 P 4 g F Q S w M E F A A C A A g A a J n Z 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i Z 2 V o o i k e 4 D g A A A B E A A A A T A B w A R m 9 y b X V s Y X M v U 2 V j d G l v b j E u b S C i G A A o o B Q A A A A A A A A A A A A A A A A A A A A A A A A A A A A r T k 0 u y c z P U w i G 0 I b W A F B L A Q I t A B Q A A g A I A G i Z 2 V p L Q M D j p A A A A P Y A A A A S A A A A A A A A A A A A A A A A A A A A A A B D b 2 5 m a W c v U G F j a 2 F n Z S 5 4 b W x Q S w E C L Q A U A A I A C A B o m d l a D 8 r p q 6 Q A A A D p A A A A E w A A A A A A A A A A A A A A A A D w A A A A W 0 N v b n R l b n R f V H l w Z X N d L n h t b F B L A Q I t A B Q A A g A I A G i Z 2 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V N h o j l p x d Q o G 6 7 Y R N f w G y A A A A A A I A A A A A A A N m A A D A A A A A E A A A A O L g D k S 4 7 1 X J F j 3 m q o k P a S 8 A A A A A B I A A A K A A A A A Q A A A A Z r 2 c o W K 8 q O F 1 L D a J V z F d J l A A A A D 7 x 7 y 4 i F s U N X U V + s r 6 C 2 p v m s d 9 N A h f Z J M B 6 z q D d o L w R t K z A 3 G u i 0 Q + e Z + b W t L 6 X n X 3 b n H m t S p m k F O d g n D p 6 T n L 5 3 P 5 i K n B T W v i q o Q c w i x O H B Q A A A B 5 + 2 8 Y I Q Z I G + P n J e S j a s Z d o 3 C 5 U 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D197C4D185495B4EB6D3B9CA72E7C108" ma:contentTypeVersion="14" ma:contentTypeDescription="Create a new document." ma:contentTypeScope="" ma:versionID="905a8dfb4300bbfd7a0ac697212cc3a9">
  <xsd:schema xmlns:xsd="http://www.w3.org/2001/XMLSchema" xmlns:xs="http://www.w3.org/2001/XMLSchema" xmlns:p="http://schemas.microsoft.com/office/2006/metadata/properties" xmlns:ns2="51ce833d-881d-4ea7-8876-98262ddbb929" xmlns:ns3="b923c84e-8e5b-4d21-ad7b-fae7171a6448" targetNamespace="http://schemas.microsoft.com/office/2006/metadata/properties" ma:root="true" ma:fieldsID="09bdd9b5ca64dbabf6046c1c78a86e26" ns2:_="" ns3:_="">
    <xsd:import namespace="51ce833d-881d-4ea7-8876-98262ddbb929"/>
    <xsd:import namespace="b923c84e-8e5b-4d21-ad7b-fae7171a644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ce833d-881d-4ea7-8876-98262ddbb92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f2a2e794-9366-4967-bc2f-bbaf13cd7d6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3c84e-8e5b-4d21-ad7b-fae7171a644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1d212ab-ac04-4bd1-9f87-e503f50943b8}" ma:internalName="TaxCatchAll" ma:showField="CatchAllData" ma:web="b923c84e-8e5b-4d21-ad7b-fae7171a64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9CE399-7F2C-4AB7-B85C-DC0375166756}">
  <ds:schemaRefs>
    <ds:schemaRef ds:uri="http://www.w3.org/XML/1998/namespace"/>
    <ds:schemaRef ds:uri="http://schemas.microsoft.com/office/2006/metadata/properties"/>
    <ds:schemaRef ds:uri="http://purl.org/dc/elements/1.1/"/>
    <ds:schemaRef ds:uri="b923c84e-8e5b-4d21-ad7b-fae7171a6448"/>
    <ds:schemaRef ds:uri="51ce833d-881d-4ea7-8876-98262ddbb929"/>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51D2896F-1AA8-491A-9499-41A7BB38BBA3}">
  <ds:schemaRefs>
    <ds:schemaRef ds:uri="http://schemas.microsoft.com/DataMashup"/>
  </ds:schemaRefs>
</ds:datastoreItem>
</file>

<file path=customXml/itemProps3.xml><?xml version="1.0" encoding="utf-8"?>
<ds:datastoreItem xmlns:ds="http://schemas.openxmlformats.org/officeDocument/2006/customXml" ds:itemID="{2024421C-5A3C-4234-81ED-8CB19EC45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ce833d-881d-4ea7-8876-98262ddbb929"/>
    <ds:schemaRef ds:uri="b923c84e-8e5b-4d21-ad7b-fae7171a6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D0050A-FED6-4543-856B-2489F0527F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2025 ORNAMENTALS - UNITS</vt:lpstr>
      <vt:lpstr>SUMMARY - UNITS (2025)</vt:lpstr>
      <vt:lpstr>'2025 ORNAMENTALS - UNITS'!National_Header</vt:lpstr>
      <vt:lpstr>'2025 ORNAMENTALS - UNITS'!National_ProductForm</vt:lpstr>
      <vt:lpstr>'2025 ORNAMENTALS - UNITS'!National_Summary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McNamara</dc:creator>
  <cp:keywords/>
  <dc:description/>
  <cp:lastModifiedBy>Ashley Barrett</cp:lastModifiedBy>
  <cp:revision/>
  <cp:lastPrinted>2025-08-11T00:05:31Z</cp:lastPrinted>
  <dcterms:created xsi:type="dcterms:W3CDTF">2021-09-07T21:38:27Z</dcterms:created>
  <dcterms:modified xsi:type="dcterms:W3CDTF">2025-09-02T15:09:48Z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0x010100D197C4D185495B4EB6D3B9CA72E7C108</vt:lpwstr>
  </property>
  <property fmtid="{D5CDD505-2E9C-101B-9397-08002B2CF9AE}" pid="3" name="c2b5fb8256bd435bb7806ac3891e195b">
    <vt:lpwstr>Short-Term|6d967203-8346-4b9c-90f8-b3828a3fa508</vt:lpwstr>
  </property>
  <property fmtid="{D5CDD505-2E9C-101B-9397-08002B2CF9AE}" pid="4" name="DataClassBayerRetention">
    <vt:lpwstr>1;#Short-Term|6d967203-8346-4b9c-90f8-b3828a3fa508</vt:lpwstr>
  </property>
  <property fmtid="{D5CDD505-2E9C-101B-9397-08002B2CF9AE}" pid="5" name="Order">
    <vt:r8>127100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SIP_Label_7f850223-87a8-40c3-9eb2-432606efca2a_Enabled">
    <vt:lpwstr>true</vt:lpwstr>
  </property>
  <property fmtid="{D5CDD505-2E9C-101B-9397-08002B2CF9AE}" pid="13" name="MSIP_Label_7f850223-87a8-40c3-9eb2-432606efca2a_SetDate">
    <vt:lpwstr>2022-07-22T15:56:38Z</vt:lpwstr>
  </property>
  <property fmtid="{D5CDD505-2E9C-101B-9397-08002B2CF9AE}" pid="14" name="MSIP_Label_7f850223-87a8-40c3-9eb2-432606efca2a_Method">
    <vt:lpwstr>Privileged</vt:lpwstr>
  </property>
  <property fmtid="{D5CDD505-2E9C-101B-9397-08002B2CF9AE}" pid="15" name="MSIP_Label_7f850223-87a8-40c3-9eb2-432606efca2a_Name">
    <vt:lpwstr>7f850223-87a8-40c3-9eb2-432606efca2a</vt:lpwstr>
  </property>
  <property fmtid="{D5CDD505-2E9C-101B-9397-08002B2CF9AE}" pid="16" name="MSIP_Label_7f850223-87a8-40c3-9eb2-432606efca2a_SiteId">
    <vt:lpwstr>fcb2b37b-5da0-466b-9b83-0014b67a7c78</vt:lpwstr>
  </property>
  <property fmtid="{D5CDD505-2E9C-101B-9397-08002B2CF9AE}" pid="17" name="MSIP_Label_7f850223-87a8-40c3-9eb2-432606efca2a_ActionId">
    <vt:lpwstr>51fffae4-65b7-4d0e-b5e6-c46adae54804</vt:lpwstr>
  </property>
  <property fmtid="{D5CDD505-2E9C-101B-9397-08002B2CF9AE}" pid="18" name="MSIP_Label_7f850223-87a8-40c3-9eb2-432606efca2a_ContentBits">
    <vt:lpwstr>0</vt:lpwstr>
  </property>
  <property fmtid="{D5CDD505-2E9C-101B-9397-08002B2CF9AE}" pid="19" name="IbpWorkbookKeyString_GUID">
    <vt:lpwstr>7e9b61c9-a92b-42dc-a2ff-2e076b477a9c</vt:lpwstr>
  </property>
  <property fmtid="{D5CDD505-2E9C-101B-9397-08002B2CF9AE}" pid="20" name="MSIP_Label_52704955-3550-4c1c-9097-1672b88a0b7a_Enabled">
    <vt:lpwstr>true</vt:lpwstr>
  </property>
  <property fmtid="{D5CDD505-2E9C-101B-9397-08002B2CF9AE}" pid="21" name="MSIP_Label_52704955-3550-4c1c-9097-1672b88a0b7a_SetDate">
    <vt:lpwstr>2023-06-12T18:32:57Z</vt:lpwstr>
  </property>
  <property fmtid="{D5CDD505-2E9C-101B-9397-08002B2CF9AE}" pid="22" name="MSIP_Label_52704955-3550-4c1c-9097-1672b88a0b7a_Method">
    <vt:lpwstr>Standard</vt:lpwstr>
  </property>
  <property fmtid="{D5CDD505-2E9C-101B-9397-08002B2CF9AE}" pid="23" name="MSIP_Label_52704955-3550-4c1c-9097-1672b88a0b7a_Name">
    <vt:lpwstr>RESTRICTED</vt:lpwstr>
  </property>
  <property fmtid="{D5CDD505-2E9C-101B-9397-08002B2CF9AE}" pid="24" name="MSIP_Label_52704955-3550-4c1c-9097-1672b88a0b7a_SiteId">
    <vt:lpwstr>c4dedb74-d916-4ef4-b6b5-af80c59e9742</vt:lpwstr>
  </property>
  <property fmtid="{D5CDD505-2E9C-101B-9397-08002B2CF9AE}" pid="25" name="MSIP_Label_52704955-3550-4c1c-9097-1672b88a0b7a_ActionId">
    <vt:lpwstr>1f624100-52f8-4476-8624-c947816b3eef</vt:lpwstr>
  </property>
  <property fmtid="{D5CDD505-2E9C-101B-9397-08002B2CF9AE}" pid="26" name="MSIP_Label_52704955-3550-4c1c-9097-1672b88a0b7a_ContentBits">
    <vt:lpwstr>0</vt:lpwstr>
  </property>
  <property fmtid="{D5CDD505-2E9C-101B-9397-08002B2CF9AE}" pid="27" name="MediaServiceImageTags">
    <vt:lpwstr/>
  </property>
</Properties>
</file>